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ile\Souteze\VS\7972s - MMN  - Modernizace 4.NP Hlavního pavilonu nemocnice Semily\3. Profil zadavatele\"/>
    </mc:Choice>
  </mc:AlternateContent>
  <xr:revisionPtr revIDLastSave="0" documentId="13_ncr:1_{ED5BAE06-14FC-4181-B6B1-C048262376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ycí list rozpočtu" sheetId="6" r:id="rId1"/>
    <sheet name="Stavební rozpočet - součet" sheetId="4" r:id="rId2"/>
    <sheet name="Stavební rozpočet" sheetId="1" r:id="rId3"/>
    <sheet name="Rozpočet - Jen skupiny" sheetId="2" state="hidden" r:id="rId4"/>
    <sheet name="Rozpočet - Jen podskupiny" sheetId="3" state="hidden" r:id="rId5"/>
    <sheet name="Výkaz výměr" sheetId="5" r:id="rId6"/>
    <sheet name="VORN" sheetId="7" state="hidden" r:id="rId7"/>
  </sheets>
  <definedNames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72" i="1" l="1"/>
  <c r="F44" i="7"/>
  <c r="I44" i="7" s="1"/>
  <c r="F43" i="7"/>
  <c r="I43" i="7" s="1"/>
  <c r="F42" i="7"/>
  <c r="I42" i="7" s="1"/>
  <c r="F39" i="7"/>
  <c r="I39" i="7" s="1"/>
  <c r="F36" i="7"/>
  <c r="I36" i="7" s="1"/>
  <c r="I26" i="7"/>
  <c r="I25" i="7"/>
  <c r="I24" i="7"/>
  <c r="I23" i="7"/>
  <c r="I22" i="7"/>
  <c r="I21" i="7"/>
  <c r="I17" i="7"/>
  <c r="I16" i="7"/>
  <c r="I15" i="7"/>
  <c r="I18" i="7" s="1"/>
  <c r="I10" i="7"/>
  <c r="F10" i="7"/>
  <c r="C10" i="7"/>
  <c r="F8" i="7"/>
  <c r="C8" i="7"/>
  <c r="F6" i="7"/>
  <c r="C6" i="7"/>
  <c r="F4" i="7"/>
  <c r="C4" i="7"/>
  <c r="F2" i="7"/>
  <c r="C2" i="7"/>
  <c r="F10" i="6"/>
  <c r="C10" i="6"/>
  <c r="F8" i="6"/>
  <c r="F6" i="6"/>
  <c r="C6" i="6"/>
  <c r="F4" i="6"/>
  <c r="C4" i="6"/>
  <c r="F2" i="6"/>
  <c r="C2" i="6"/>
  <c r="C8" i="5"/>
  <c r="F6" i="5"/>
  <c r="C6" i="5"/>
  <c r="F4" i="5"/>
  <c r="C4" i="5"/>
  <c r="F2" i="5"/>
  <c r="C2" i="5"/>
  <c r="I49" i="4"/>
  <c r="C8" i="4"/>
  <c r="G6" i="4"/>
  <c r="C6" i="4"/>
  <c r="G4" i="4"/>
  <c r="C4" i="4"/>
  <c r="G2" i="4"/>
  <c r="C2" i="4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J8" i="3"/>
  <c r="H8" i="3"/>
  <c r="D8" i="3"/>
  <c r="J6" i="3"/>
  <c r="H6" i="3"/>
  <c r="D6" i="3"/>
  <c r="J4" i="3"/>
  <c r="H4" i="3"/>
  <c r="D4" i="3"/>
  <c r="J2" i="3"/>
  <c r="H2" i="3"/>
  <c r="D2" i="3"/>
  <c r="P22" i="2"/>
  <c r="P21" i="2"/>
  <c r="P20" i="2"/>
  <c r="P19" i="2"/>
  <c r="P18" i="2"/>
  <c r="P17" i="2"/>
  <c r="P16" i="2"/>
  <c r="P15" i="2"/>
  <c r="P14" i="2"/>
  <c r="P13" i="2"/>
  <c r="P12" i="2"/>
  <c r="J8" i="2"/>
  <c r="H8" i="2"/>
  <c r="D8" i="2"/>
  <c r="J6" i="2"/>
  <c r="H6" i="2"/>
  <c r="D6" i="2"/>
  <c r="J4" i="2"/>
  <c r="H4" i="2"/>
  <c r="D4" i="2"/>
  <c r="J2" i="2"/>
  <c r="H2" i="2"/>
  <c r="D2" i="2"/>
  <c r="BS874" i="1"/>
  <c r="F41" i="7" s="1"/>
  <c r="I41" i="7" s="1"/>
  <c r="BJ874" i="1"/>
  <c r="BF874" i="1"/>
  <c r="BD874" i="1"/>
  <c r="AP874" i="1"/>
  <c r="BI874" i="1" s="1"/>
  <c r="AO874" i="1"/>
  <c r="H874" i="1" s="1"/>
  <c r="H873" i="1" s="1"/>
  <c r="AK874" i="1"/>
  <c r="AJ874" i="1"/>
  <c r="AH874" i="1"/>
  <c r="AG874" i="1"/>
  <c r="AF874" i="1"/>
  <c r="AE874" i="1"/>
  <c r="AD874" i="1"/>
  <c r="AC874" i="1"/>
  <c r="AB874" i="1"/>
  <c r="Z874" i="1"/>
  <c r="J874" i="1"/>
  <c r="J873" i="1" s="1"/>
  <c r="AT873" i="1"/>
  <c r="AS873" i="1"/>
  <c r="BR872" i="1"/>
  <c r="F40" i="7" s="1"/>
  <c r="I40" i="7" s="1"/>
  <c r="BJ872" i="1"/>
  <c r="BF872" i="1"/>
  <c r="BD872" i="1"/>
  <c r="AP872" i="1"/>
  <c r="AX872" i="1" s="1"/>
  <c r="AO872" i="1"/>
  <c r="H872" i="1" s="1"/>
  <c r="H871" i="1" s="1"/>
  <c r="AK872" i="1"/>
  <c r="AT871" i="1" s="1"/>
  <c r="AJ872" i="1"/>
  <c r="AS871" i="1" s="1"/>
  <c r="AH872" i="1"/>
  <c r="AG872" i="1"/>
  <c r="AF872" i="1"/>
  <c r="AE872" i="1"/>
  <c r="AD872" i="1"/>
  <c r="AC872" i="1"/>
  <c r="AB872" i="1"/>
  <c r="Z872" i="1"/>
  <c r="J871" i="1"/>
  <c r="BP870" i="1"/>
  <c r="BJ870" i="1"/>
  <c r="BF870" i="1"/>
  <c r="BD870" i="1"/>
  <c r="AP870" i="1"/>
  <c r="BI870" i="1" s="1"/>
  <c r="AO870" i="1"/>
  <c r="H870" i="1" s="1"/>
  <c r="AK870" i="1"/>
  <c r="AJ870" i="1"/>
  <c r="AH870" i="1"/>
  <c r="AG870" i="1"/>
  <c r="AF870" i="1"/>
  <c r="AE870" i="1"/>
  <c r="AD870" i="1"/>
  <c r="AC870" i="1"/>
  <c r="AB870" i="1"/>
  <c r="Z870" i="1"/>
  <c r="J870" i="1"/>
  <c r="AL870" i="1" s="1"/>
  <c r="BP869" i="1"/>
  <c r="BJ869" i="1"/>
  <c r="BF869" i="1"/>
  <c r="BD869" i="1"/>
  <c r="AP869" i="1"/>
  <c r="AX869" i="1" s="1"/>
  <c r="AO869" i="1"/>
  <c r="BH869" i="1" s="1"/>
  <c r="AK869" i="1"/>
  <c r="AJ869" i="1"/>
  <c r="AH869" i="1"/>
  <c r="AG869" i="1"/>
  <c r="AF869" i="1"/>
  <c r="AE869" i="1"/>
  <c r="AD869" i="1"/>
  <c r="AC869" i="1"/>
  <c r="AB869" i="1"/>
  <c r="Z869" i="1"/>
  <c r="J869" i="1"/>
  <c r="J868" i="1" s="1"/>
  <c r="BO867" i="1"/>
  <c r="F37" i="7" s="1"/>
  <c r="I37" i="7" s="1"/>
  <c r="BJ867" i="1"/>
  <c r="BF867" i="1"/>
  <c r="BD867" i="1"/>
  <c r="AP867" i="1"/>
  <c r="AX867" i="1" s="1"/>
  <c r="AO867" i="1"/>
  <c r="BH867" i="1" s="1"/>
  <c r="AK867" i="1"/>
  <c r="AT866" i="1" s="1"/>
  <c r="AJ867" i="1"/>
  <c r="AS866" i="1" s="1"/>
  <c r="AH867" i="1"/>
  <c r="AG867" i="1"/>
  <c r="AF867" i="1"/>
  <c r="AE867" i="1"/>
  <c r="AD867" i="1"/>
  <c r="AC867" i="1"/>
  <c r="AB867" i="1"/>
  <c r="Z867" i="1"/>
  <c r="J867" i="1"/>
  <c r="J866" i="1" s="1"/>
  <c r="BM865" i="1"/>
  <c r="BJ865" i="1"/>
  <c r="BF865" i="1"/>
  <c r="BD865" i="1"/>
  <c r="AP865" i="1"/>
  <c r="AX865" i="1" s="1"/>
  <c r="AO865" i="1"/>
  <c r="BH865" i="1" s="1"/>
  <c r="AK865" i="1"/>
  <c r="AJ865" i="1"/>
  <c r="AH865" i="1"/>
  <c r="AG865" i="1"/>
  <c r="AF865" i="1"/>
  <c r="AE865" i="1"/>
  <c r="AD865" i="1"/>
  <c r="AC865" i="1"/>
  <c r="AB865" i="1"/>
  <c r="Z865" i="1"/>
  <c r="J865" i="1"/>
  <c r="AL865" i="1" s="1"/>
  <c r="BM864" i="1"/>
  <c r="BJ864" i="1"/>
  <c r="BF864" i="1"/>
  <c r="BD864" i="1"/>
  <c r="AP864" i="1"/>
  <c r="BI864" i="1" s="1"/>
  <c r="AO864" i="1"/>
  <c r="H864" i="1" s="1"/>
  <c r="AK864" i="1"/>
  <c r="AJ864" i="1"/>
  <c r="AH864" i="1"/>
  <c r="AG864" i="1"/>
  <c r="AF864" i="1"/>
  <c r="AE864" i="1"/>
  <c r="AD864" i="1"/>
  <c r="AC864" i="1"/>
  <c r="AB864" i="1"/>
  <c r="Z864" i="1"/>
  <c r="J864" i="1"/>
  <c r="AL864" i="1" s="1"/>
  <c r="BJ861" i="1"/>
  <c r="BF861" i="1"/>
  <c r="BD861" i="1"/>
  <c r="AW861" i="1"/>
  <c r="AP861" i="1"/>
  <c r="AO861" i="1"/>
  <c r="BH861" i="1" s="1"/>
  <c r="AF861" i="1" s="1"/>
  <c r="AK861" i="1"/>
  <c r="AJ861" i="1"/>
  <c r="AH861" i="1"/>
  <c r="AE861" i="1"/>
  <c r="AD861" i="1"/>
  <c r="AC861" i="1"/>
  <c r="AB861" i="1"/>
  <c r="Z861" i="1"/>
  <c r="J861" i="1"/>
  <c r="AL861" i="1" s="1"/>
  <c r="BJ860" i="1"/>
  <c r="BF860" i="1"/>
  <c r="BD860" i="1"/>
  <c r="AP860" i="1"/>
  <c r="AO860" i="1"/>
  <c r="AK860" i="1"/>
  <c r="AJ860" i="1"/>
  <c r="AH860" i="1"/>
  <c r="AE860" i="1"/>
  <c r="AD860" i="1"/>
  <c r="AC860" i="1"/>
  <c r="AB860" i="1"/>
  <c r="Z860" i="1"/>
  <c r="J860" i="1"/>
  <c r="AL860" i="1" s="1"/>
  <c r="BJ859" i="1"/>
  <c r="BH859" i="1"/>
  <c r="AF859" i="1" s="1"/>
  <c r="BF859" i="1"/>
  <c r="BD859" i="1"/>
  <c r="AP859" i="1"/>
  <c r="BI859" i="1" s="1"/>
  <c r="AG859" i="1" s="1"/>
  <c r="AO859" i="1"/>
  <c r="H859" i="1" s="1"/>
  <c r="AK859" i="1"/>
  <c r="AJ859" i="1"/>
  <c r="AH859" i="1"/>
  <c r="AE859" i="1"/>
  <c r="AD859" i="1"/>
  <c r="AC859" i="1"/>
  <c r="AB859" i="1"/>
  <c r="Z859" i="1"/>
  <c r="J859" i="1"/>
  <c r="AL859" i="1" s="1"/>
  <c r="BJ858" i="1"/>
  <c r="BF858" i="1"/>
  <c r="BD858" i="1"/>
  <c r="AP858" i="1"/>
  <c r="AO858" i="1"/>
  <c r="AW858" i="1" s="1"/>
  <c r="AK858" i="1"/>
  <c r="AJ858" i="1"/>
  <c r="AH858" i="1"/>
  <c r="AE858" i="1"/>
  <c r="AD858" i="1"/>
  <c r="AC858" i="1"/>
  <c r="AB858" i="1"/>
  <c r="Z858" i="1"/>
  <c r="J858" i="1"/>
  <c r="AL858" i="1" s="1"/>
  <c r="BJ857" i="1"/>
  <c r="BI857" i="1"/>
  <c r="AG857" i="1" s="1"/>
  <c r="BF857" i="1"/>
  <c r="BD857" i="1"/>
  <c r="AW857" i="1"/>
  <c r="AV857" i="1" s="1"/>
  <c r="AP857" i="1"/>
  <c r="AX857" i="1" s="1"/>
  <c r="AO857" i="1"/>
  <c r="BH857" i="1" s="1"/>
  <c r="AF857" i="1" s="1"/>
  <c r="AK857" i="1"/>
  <c r="AJ857" i="1"/>
  <c r="AH857" i="1"/>
  <c r="AE857" i="1"/>
  <c r="AD857" i="1"/>
  <c r="AC857" i="1"/>
  <c r="AB857" i="1"/>
  <c r="Z857" i="1"/>
  <c r="J857" i="1"/>
  <c r="AL857" i="1" s="1"/>
  <c r="I857" i="1"/>
  <c r="BJ856" i="1"/>
  <c r="BH856" i="1"/>
  <c r="AF856" i="1" s="1"/>
  <c r="BF856" i="1"/>
  <c r="BD856" i="1"/>
  <c r="AX856" i="1"/>
  <c r="AW856" i="1"/>
  <c r="BC856" i="1" s="1"/>
  <c r="AP856" i="1"/>
  <c r="BI856" i="1" s="1"/>
  <c r="AG856" i="1" s="1"/>
  <c r="AO856" i="1"/>
  <c r="AK856" i="1"/>
  <c r="AJ856" i="1"/>
  <c r="AH856" i="1"/>
  <c r="AE856" i="1"/>
  <c r="AD856" i="1"/>
  <c r="AC856" i="1"/>
  <c r="AB856" i="1"/>
  <c r="Z856" i="1"/>
  <c r="J856" i="1"/>
  <c r="AL856" i="1" s="1"/>
  <c r="H856" i="1"/>
  <c r="BJ855" i="1"/>
  <c r="BF855" i="1"/>
  <c r="BD855" i="1"/>
  <c r="AP855" i="1"/>
  <c r="AO855" i="1"/>
  <c r="AK855" i="1"/>
  <c r="AJ855" i="1"/>
  <c r="AH855" i="1"/>
  <c r="AE855" i="1"/>
  <c r="AD855" i="1"/>
  <c r="AC855" i="1"/>
  <c r="AB855" i="1"/>
  <c r="Z855" i="1"/>
  <c r="J855" i="1"/>
  <c r="AL855" i="1" s="1"/>
  <c r="I855" i="1"/>
  <c r="BJ854" i="1"/>
  <c r="BF854" i="1"/>
  <c r="BD854" i="1"/>
  <c r="AP854" i="1"/>
  <c r="I854" i="1" s="1"/>
  <c r="AO854" i="1"/>
  <c r="AW854" i="1" s="1"/>
  <c r="AK854" i="1"/>
  <c r="AJ854" i="1"/>
  <c r="AH854" i="1"/>
  <c r="AE854" i="1"/>
  <c r="AD854" i="1"/>
  <c r="AC854" i="1"/>
  <c r="AB854" i="1"/>
  <c r="Z854" i="1"/>
  <c r="J854" i="1"/>
  <c r="AL854" i="1" s="1"/>
  <c r="H854" i="1"/>
  <c r="BJ853" i="1"/>
  <c r="BF853" i="1"/>
  <c r="BD853" i="1"/>
  <c r="AP853" i="1"/>
  <c r="AX853" i="1" s="1"/>
  <c r="AO853" i="1"/>
  <c r="BH853" i="1" s="1"/>
  <c r="AF853" i="1" s="1"/>
  <c r="AK853" i="1"/>
  <c r="AJ853" i="1"/>
  <c r="AH853" i="1"/>
  <c r="AE853" i="1"/>
  <c r="AD853" i="1"/>
  <c r="AC853" i="1"/>
  <c r="AB853" i="1"/>
  <c r="Z853" i="1"/>
  <c r="J853" i="1"/>
  <c r="AL853" i="1" s="1"/>
  <c r="BJ852" i="1"/>
  <c r="BF852" i="1"/>
  <c r="BD852" i="1"/>
  <c r="AX852" i="1"/>
  <c r="AP852" i="1"/>
  <c r="BI852" i="1" s="1"/>
  <c r="AG852" i="1" s="1"/>
  <c r="AO852" i="1"/>
  <c r="H852" i="1" s="1"/>
  <c r="AK852" i="1"/>
  <c r="AJ852" i="1"/>
  <c r="AH852" i="1"/>
  <c r="AE852" i="1"/>
  <c r="AD852" i="1"/>
  <c r="AC852" i="1"/>
  <c r="AB852" i="1"/>
  <c r="Z852" i="1"/>
  <c r="J852" i="1"/>
  <c r="AL852" i="1" s="1"/>
  <c r="I852" i="1"/>
  <c r="BJ851" i="1"/>
  <c r="BF851" i="1"/>
  <c r="BD851" i="1"/>
  <c r="AP851" i="1"/>
  <c r="BI851" i="1" s="1"/>
  <c r="AG851" i="1" s="1"/>
  <c r="AO851" i="1"/>
  <c r="AL851" i="1"/>
  <c r="AK851" i="1"/>
  <c r="AJ851" i="1"/>
  <c r="AH851" i="1"/>
  <c r="AE851" i="1"/>
  <c r="AD851" i="1"/>
  <c r="AC851" i="1"/>
  <c r="AB851" i="1"/>
  <c r="Z851" i="1"/>
  <c r="J851" i="1"/>
  <c r="I851" i="1"/>
  <c r="BJ850" i="1"/>
  <c r="BH850" i="1"/>
  <c r="AF850" i="1" s="1"/>
  <c r="BF850" i="1"/>
  <c r="BD850" i="1"/>
  <c r="AP850" i="1"/>
  <c r="I850" i="1" s="1"/>
  <c r="AO850" i="1"/>
  <c r="AW850" i="1" s="1"/>
  <c r="AK850" i="1"/>
  <c r="AJ850" i="1"/>
  <c r="AH850" i="1"/>
  <c r="AE850" i="1"/>
  <c r="AD850" i="1"/>
  <c r="AC850" i="1"/>
  <c r="AB850" i="1"/>
  <c r="Z850" i="1"/>
  <c r="J850" i="1"/>
  <c r="AL850" i="1" s="1"/>
  <c r="H850" i="1"/>
  <c r="BJ849" i="1"/>
  <c r="BF849" i="1"/>
  <c r="BD849" i="1"/>
  <c r="AW849" i="1"/>
  <c r="BC849" i="1" s="1"/>
  <c r="AP849" i="1"/>
  <c r="AX849" i="1" s="1"/>
  <c r="AO849" i="1"/>
  <c r="BH849" i="1" s="1"/>
  <c r="AL849" i="1"/>
  <c r="AK849" i="1"/>
  <c r="AJ849" i="1"/>
  <c r="AH849" i="1"/>
  <c r="AF849" i="1"/>
  <c r="AE849" i="1"/>
  <c r="AD849" i="1"/>
  <c r="AC849" i="1"/>
  <c r="AB849" i="1"/>
  <c r="Z849" i="1"/>
  <c r="J849" i="1"/>
  <c r="H849" i="1"/>
  <c r="BJ848" i="1"/>
  <c r="BF848" i="1"/>
  <c r="BD848" i="1"/>
  <c r="AP848" i="1"/>
  <c r="AO848" i="1"/>
  <c r="BH848" i="1" s="1"/>
  <c r="AF848" i="1" s="1"/>
  <c r="AK848" i="1"/>
  <c r="AJ848" i="1"/>
  <c r="AH848" i="1"/>
  <c r="AE848" i="1"/>
  <c r="AD848" i="1"/>
  <c r="AC848" i="1"/>
  <c r="AB848" i="1"/>
  <c r="Z848" i="1"/>
  <c r="J848" i="1"/>
  <c r="AL848" i="1" s="1"/>
  <c r="BJ847" i="1"/>
  <c r="BF847" i="1"/>
  <c r="BD847" i="1"/>
  <c r="AP847" i="1"/>
  <c r="AO847" i="1"/>
  <c r="H847" i="1" s="1"/>
  <c r="AK847" i="1"/>
  <c r="AJ847" i="1"/>
  <c r="AH847" i="1"/>
  <c r="AE847" i="1"/>
  <c r="AD847" i="1"/>
  <c r="AC847" i="1"/>
  <c r="AB847" i="1"/>
  <c r="Z847" i="1"/>
  <c r="J847" i="1"/>
  <c r="AL847" i="1" s="1"/>
  <c r="BJ846" i="1"/>
  <c r="BH846" i="1"/>
  <c r="AF846" i="1" s="1"/>
  <c r="BF846" i="1"/>
  <c r="BD846" i="1"/>
  <c r="AP846" i="1"/>
  <c r="I846" i="1" s="1"/>
  <c r="AO846" i="1"/>
  <c r="AW846" i="1" s="1"/>
  <c r="AK846" i="1"/>
  <c r="AJ846" i="1"/>
  <c r="AH846" i="1"/>
  <c r="AE846" i="1"/>
  <c r="AD846" i="1"/>
  <c r="AC846" i="1"/>
  <c r="AB846" i="1"/>
  <c r="Z846" i="1"/>
  <c r="J846" i="1"/>
  <c r="AL846" i="1" s="1"/>
  <c r="BJ845" i="1"/>
  <c r="BF845" i="1"/>
  <c r="BD845" i="1"/>
  <c r="AP845" i="1"/>
  <c r="AO845" i="1"/>
  <c r="AK845" i="1"/>
  <c r="AJ845" i="1"/>
  <c r="AH845" i="1"/>
  <c r="AE845" i="1"/>
  <c r="AD845" i="1"/>
  <c r="AC845" i="1"/>
  <c r="AB845" i="1"/>
  <c r="Z845" i="1"/>
  <c r="J845" i="1"/>
  <c r="AL845" i="1" s="1"/>
  <c r="BJ844" i="1"/>
  <c r="BH844" i="1"/>
  <c r="BF844" i="1"/>
  <c r="BD844" i="1"/>
  <c r="AW844" i="1"/>
  <c r="AP844" i="1"/>
  <c r="BI844" i="1" s="1"/>
  <c r="AG844" i="1" s="1"/>
  <c r="AO844" i="1"/>
  <c r="AL844" i="1"/>
  <c r="AK844" i="1"/>
  <c r="AJ844" i="1"/>
  <c r="AH844" i="1"/>
  <c r="AF844" i="1"/>
  <c r="AE844" i="1"/>
  <c r="AD844" i="1"/>
  <c r="AC844" i="1"/>
  <c r="AB844" i="1"/>
  <c r="Z844" i="1"/>
  <c r="J844" i="1"/>
  <c r="H844" i="1"/>
  <c r="BJ843" i="1"/>
  <c r="BH843" i="1"/>
  <c r="AF843" i="1" s="1"/>
  <c r="BF843" i="1"/>
  <c r="BD843" i="1"/>
  <c r="AW843" i="1"/>
  <c r="AP843" i="1"/>
  <c r="BI843" i="1" s="1"/>
  <c r="AG843" i="1" s="1"/>
  <c r="AO843" i="1"/>
  <c r="H843" i="1" s="1"/>
  <c r="AK843" i="1"/>
  <c r="AJ843" i="1"/>
  <c r="AH843" i="1"/>
  <c r="AE843" i="1"/>
  <c r="AD843" i="1"/>
  <c r="AC843" i="1"/>
  <c r="AB843" i="1"/>
  <c r="Z843" i="1"/>
  <c r="J843" i="1"/>
  <c r="AL843" i="1" s="1"/>
  <c r="BJ842" i="1"/>
  <c r="BI842" i="1"/>
  <c r="AG842" i="1" s="1"/>
  <c r="BF842" i="1"/>
  <c r="BD842" i="1"/>
  <c r="AX842" i="1"/>
  <c r="AP842" i="1"/>
  <c r="I842" i="1" s="1"/>
  <c r="AO842" i="1"/>
  <c r="BH842" i="1" s="1"/>
  <c r="AF842" i="1" s="1"/>
  <c r="AK842" i="1"/>
  <c r="AJ842" i="1"/>
  <c r="AH842" i="1"/>
  <c r="AE842" i="1"/>
  <c r="AD842" i="1"/>
  <c r="AC842" i="1"/>
  <c r="AB842" i="1"/>
  <c r="Z842" i="1"/>
  <c r="J842" i="1"/>
  <c r="AL842" i="1" s="1"/>
  <c r="BJ841" i="1"/>
  <c r="BI841" i="1"/>
  <c r="AG841" i="1" s="1"/>
  <c r="BF841" i="1"/>
  <c r="BD841" i="1"/>
  <c r="AP841" i="1"/>
  <c r="AX841" i="1" s="1"/>
  <c r="AO841" i="1"/>
  <c r="BH841" i="1" s="1"/>
  <c r="AF841" i="1" s="1"/>
  <c r="AL841" i="1"/>
  <c r="AK841" i="1"/>
  <c r="AJ841" i="1"/>
  <c r="AH841" i="1"/>
  <c r="AE841" i="1"/>
  <c r="AD841" i="1"/>
  <c r="AC841" i="1"/>
  <c r="AB841" i="1"/>
  <c r="Z841" i="1"/>
  <c r="J841" i="1"/>
  <c r="I841" i="1"/>
  <c r="H841" i="1"/>
  <c r="BJ840" i="1"/>
  <c r="BF840" i="1"/>
  <c r="BD840" i="1"/>
  <c r="AP840" i="1"/>
  <c r="AO840" i="1"/>
  <c r="AK840" i="1"/>
  <c r="AJ840" i="1"/>
  <c r="AH840" i="1"/>
  <c r="AE840" i="1"/>
  <c r="AD840" i="1"/>
  <c r="AC840" i="1"/>
  <c r="AB840" i="1"/>
  <c r="Z840" i="1"/>
  <c r="J840" i="1"/>
  <c r="AL840" i="1" s="1"/>
  <c r="BJ839" i="1"/>
  <c r="BF839" i="1"/>
  <c r="BD839" i="1"/>
  <c r="AP839" i="1"/>
  <c r="BI839" i="1" s="1"/>
  <c r="AG839" i="1" s="1"/>
  <c r="AO839" i="1"/>
  <c r="AL839" i="1"/>
  <c r="AK839" i="1"/>
  <c r="AJ839" i="1"/>
  <c r="AH839" i="1"/>
  <c r="AE839" i="1"/>
  <c r="AD839" i="1"/>
  <c r="AC839" i="1"/>
  <c r="AB839" i="1"/>
  <c r="Z839" i="1"/>
  <c r="J839" i="1"/>
  <c r="I839" i="1"/>
  <c r="BJ838" i="1"/>
  <c r="BF838" i="1"/>
  <c r="BD838" i="1"/>
  <c r="AP838" i="1"/>
  <c r="AO838" i="1"/>
  <c r="H838" i="1" s="1"/>
  <c r="AK838" i="1"/>
  <c r="AJ838" i="1"/>
  <c r="AH838" i="1"/>
  <c r="AE838" i="1"/>
  <c r="AD838" i="1"/>
  <c r="AC838" i="1"/>
  <c r="AB838" i="1"/>
  <c r="Z838" i="1"/>
  <c r="J838" i="1"/>
  <c r="AL838" i="1" s="1"/>
  <c r="BJ837" i="1"/>
  <c r="BF837" i="1"/>
  <c r="BD837" i="1"/>
  <c r="AP837" i="1"/>
  <c r="AO837" i="1"/>
  <c r="BH837" i="1" s="1"/>
  <c r="AF837" i="1" s="1"/>
  <c r="AL837" i="1"/>
  <c r="AK837" i="1"/>
  <c r="AJ837" i="1"/>
  <c r="AH837" i="1"/>
  <c r="AE837" i="1"/>
  <c r="AD837" i="1"/>
  <c r="AC837" i="1"/>
  <c r="AB837" i="1"/>
  <c r="Z837" i="1"/>
  <c r="J837" i="1"/>
  <c r="H837" i="1"/>
  <c r="BJ836" i="1"/>
  <c r="BH836" i="1"/>
  <c r="AF836" i="1" s="1"/>
  <c r="BF836" i="1"/>
  <c r="BD836" i="1"/>
  <c r="AX836" i="1"/>
  <c r="AW836" i="1"/>
  <c r="AP836" i="1"/>
  <c r="BI836" i="1" s="1"/>
  <c r="AO836" i="1"/>
  <c r="H836" i="1" s="1"/>
  <c r="AK836" i="1"/>
  <c r="AJ836" i="1"/>
  <c r="AH836" i="1"/>
  <c r="AG836" i="1"/>
  <c r="AE836" i="1"/>
  <c r="AD836" i="1"/>
  <c r="AC836" i="1"/>
  <c r="AB836" i="1"/>
  <c r="Z836" i="1"/>
  <c r="J836" i="1"/>
  <c r="AL836" i="1" s="1"/>
  <c r="I836" i="1"/>
  <c r="BJ835" i="1"/>
  <c r="BH835" i="1"/>
  <c r="AF835" i="1" s="1"/>
  <c r="BF835" i="1"/>
  <c r="BD835" i="1"/>
  <c r="AP835" i="1"/>
  <c r="I835" i="1" s="1"/>
  <c r="AO835" i="1"/>
  <c r="AL835" i="1"/>
  <c r="AK835" i="1"/>
  <c r="AJ835" i="1"/>
  <c r="AH835" i="1"/>
  <c r="AE835" i="1"/>
  <c r="AD835" i="1"/>
  <c r="AC835" i="1"/>
  <c r="AB835" i="1"/>
  <c r="Z835" i="1"/>
  <c r="J835" i="1"/>
  <c r="BJ834" i="1"/>
  <c r="BH834" i="1"/>
  <c r="AF834" i="1" s="1"/>
  <c r="BF834" i="1"/>
  <c r="BD834" i="1"/>
  <c r="AP834" i="1"/>
  <c r="AO834" i="1"/>
  <c r="AW834" i="1" s="1"/>
  <c r="AK834" i="1"/>
  <c r="AJ834" i="1"/>
  <c r="AH834" i="1"/>
  <c r="AE834" i="1"/>
  <c r="AD834" i="1"/>
  <c r="AC834" i="1"/>
  <c r="AB834" i="1"/>
  <c r="Z834" i="1"/>
  <c r="J834" i="1"/>
  <c r="AL834" i="1" s="1"/>
  <c r="BJ833" i="1"/>
  <c r="BF833" i="1"/>
  <c r="BD833" i="1"/>
  <c r="AP833" i="1"/>
  <c r="I833" i="1" s="1"/>
  <c r="AO833" i="1"/>
  <c r="BH833" i="1" s="1"/>
  <c r="AF833" i="1" s="1"/>
  <c r="AK833" i="1"/>
  <c r="AJ833" i="1"/>
  <c r="AH833" i="1"/>
  <c r="AE833" i="1"/>
  <c r="AD833" i="1"/>
  <c r="AC833" i="1"/>
  <c r="AB833" i="1"/>
  <c r="Z833" i="1"/>
  <c r="J833" i="1"/>
  <c r="AL833" i="1" s="1"/>
  <c r="H833" i="1"/>
  <c r="BJ832" i="1"/>
  <c r="BF832" i="1"/>
  <c r="BD832" i="1"/>
  <c r="AX832" i="1"/>
  <c r="AP832" i="1"/>
  <c r="BI832" i="1" s="1"/>
  <c r="AG832" i="1" s="1"/>
  <c r="AO832" i="1"/>
  <c r="H832" i="1" s="1"/>
  <c r="AK832" i="1"/>
  <c r="AJ832" i="1"/>
  <c r="AH832" i="1"/>
  <c r="AE832" i="1"/>
  <c r="AD832" i="1"/>
  <c r="AC832" i="1"/>
  <c r="AB832" i="1"/>
  <c r="Z832" i="1"/>
  <c r="J832" i="1"/>
  <c r="AL832" i="1" s="1"/>
  <c r="I832" i="1"/>
  <c r="BJ831" i="1"/>
  <c r="BF831" i="1"/>
  <c r="BD831" i="1"/>
  <c r="AW831" i="1"/>
  <c r="AP831" i="1"/>
  <c r="AX831" i="1" s="1"/>
  <c r="BC831" i="1" s="1"/>
  <c r="AO831" i="1"/>
  <c r="AK831" i="1"/>
  <c r="AJ831" i="1"/>
  <c r="AH831" i="1"/>
  <c r="AE831" i="1"/>
  <c r="AD831" i="1"/>
  <c r="AC831" i="1"/>
  <c r="AB831" i="1"/>
  <c r="Z831" i="1"/>
  <c r="J831" i="1"/>
  <c r="AL831" i="1" s="1"/>
  <c r="BJ830" i="1"/>
  <c r="BH830" i="1"/>
  <c r="AF830" i="1" s="1"/>
  <c r="BF830" i="1"/>
  <c r="BD830" i="1"/>
  <c r="AW830" i="1"/>
  <c r="AP830" i="1"/>
  <c r="BI830" i="1" s="1"/>
  <c r="AG830" i="1" s="1"/>
  <c r="AO830" i="1"/>
  <c r="H830" i="1" s="1"/>
  <c r="AK830" i="1"/>
  <c r="AJ830" i="1"/>
  <c r="AH830" i="1"/>
  <c r="AE830" i="1"/>
  <c r="AD830" i="1"/>
  <c r="AC830" i="1"/>
  <c r="AB830" i="1"/>
  <c r="Z830" i="1"/>
  <c r="J830" i="1"/>
  <c r="AL830" i="1" s="1"/>
  <c r="I830" i="1"/>
  <c r="BJ828" i="1"/>
  <c r="BF828" i="1"/>
  <c r="BD828" i="1"/>
  <c r="AP828" i="1"/>
  <c r="AO828" i="1"/>
  <c r="BH828" i="1" s="1"/>
  <c r="AF828" i="1" s="1"/>
  <c r="AK828" i="1"/>
  <c r="AJ828" i="1"/>
  <c r="AH828" i="1"/>
  <c r="AE828" i="1"/>
  <c r="AD828" i="1"/>
  <c r="AC828" i="1"/>
  <c r="AB828" i="1"/>
  <c r="Z828" i="1"/>
  <c r="J828" i="1"/>
  <c r="AL828" i="1" s="1"/>
  <c r="BJ827" i="1"/>
  <c r="BI827" i="1"/>
  <c r="AG827" i="1" s="1"/>
  <c r="BF827" i="1"/>
  <c r="BD827" i="1"/>
  <c r="AP827" i="1"/>
  <c r="AX827" i="1" s="1"/>
  <c r="AO827" i="1"/>
  <c r="H827" i="1" s="1"/>
  <c r="AK827" i="1"/>
  <c r="AJ827" i="1"/>
  <c r="AH827" i="1"/>
  <c r="AE827" i="1"/>
  <c r="AD827" i="1"/>
  <c r="AC827" i="1"/>
  <c r="AB827" i="1"/>
  <c r="Z827" i="1"/>
  <c r="J827" i="1"/>
  <c r="AL827" i="1" s="1"/>
  <c r="I827" i="1"/>
  <c r="BJ826" i="1"/>
  <c r="BF826" i="1"/>
  <c r="BD826" i="1"/>
  <c r="AW826" i="1"/>
  <c r="AP826" i="1"/>
  <c r="BI826" i="1" s="1"/>
  <c r="AG826" i="1" s="1"/>
  <c r="AO826" i="1"/>
  <c r="H826" i="1" s="1"/>
  <c r="AK826" i="1"/>
  <c r="AJ826" i="1"/>
  <c r="AH826" i="1"/>
  <c r="AE826" i="1"/>
  <c r="AD826" i="1"/>
  <c r="AC826" i="1"/>
  <c r="AB826" i="1"/>
  <c r="Z826" i="1"/>
  <c r="J826" i="1"/>
  <c r="AL826" i="1" s="1"/>
  <c r="BJ825" i="1"/>
  <c r="BF825" i="1"/>
  <c r="BD825" i="1"/>
  <c r="AX825" i="1"/>
  <c r="AP825" i="1"/>
  <c r="I825" i="1" s="1"/>
  <c r="AO825" i="1"/>
  <c r="BH825" i="1" s="1"/>
  <c r="AF825" i="1" s="1"/>
  <c r="AK825" i="1"/>
  <c r="AJ825" i="1"/>
  <c r="AH825" i="1"/>
  <c r="AE825" i="1"/>
  <c r="AD825" i="1"/>
  <c r="AC825" i="1"/>
  <c r="AB825" i="1"/>
  <c r="Z825" i="1"/>
  <c r="J825" i="1"/>
  <c r="AL825" i="1" s="1"/>
  <c r="BJ824" i="1"/>
  <c r="BF824" i="1"/>
  <c r="BD824" i="1"/>
  <c r="AW824" i="1"/>
  <c r="AP824" i="1"/>
  <c r="BI824" i="1" s="1"/>
  <c r="AG824" i="1" s="1"/>
  <c r="AO824" i="1"/>
  <c r="BH824" i="1" s="1"/>
  <c r="AF824" i="1" s="1"/>
  <c r="AK824" i="1"/>
  <c r="AJ824" i="1"/>
  <c r="AH824" i="1"/>
  <c r="AE824" i="1"/>
  <c r="AD824" i="1"/>
  <c r="AC824" i="1"/>
  <c r="AB824" i="1"/>
  <c r="Z824" i="1"/>
  <c r="J824" i="1"/>
  <c r="AL824" i="1" s="1"/>
  <c r="I824" i="1"/>
  <c r="H824" i="1"/>
  <c r="BJ823" i="1"/>
  <c r="BF823" i="1"/>
  <c r="BD823" i="1"/>
  <c r="AP823" i="1"/>
  <c r="AO823" i="1"/>
  <c r="BH823" i="1" s="1"/>
  <c r="AF823" i="1" s="1"/>
  <c r="AK823" i="1"/>
  <c r="AJ823" i="1"/>
  <c r="AH823" i="1"/>
  <c r="AE823" i="1"/>
  <c r="AD823" i="1"/>
  <c r="AC823" i="1"/>
  <c r="AB823" i="1"/>
  <c r="Z823" i="1"/>
  <c r="J823" i="1"/>
  <c r="AL823" i="1" s="1"/>
  <c r="I823" i="1"/>
  <c r="H823" i="1"/>
  <c r="BJ822" i="1"/>
  <c r="BF822" i="1"/>
  <c r="BD822" i="1"/>
  <c r="AP822" i="1"/>
  <c r="BI822" i="1" s="1"/>
  <c r="AG822" i="1" s="1"/>
  <c r="AO822" i="1"/>
  <c r="AW822" i="1" s="1"/>
  <c r="AK822" i="1"/>
  <c r="AJ822" i="1"/>
  <c r="AH822" i="1"/>
  <c r="AE822" i="1"/>
  <c r="AD822" i="1"/>
  <c r="AC822" i="1"/>
  <c r="AB822" i="1"/>
  <c r="Z822" i="1"/>
  <c r="J822" i="1"/>
  <c r="AL822" i="1" s="1"/>
  <c r="BJ821" i="1"/>
  <c r="BF821" i="1"/>
  <c r="BD821" i="1"/>
  <c r="AP821" i="1"/>
  <c r="AX821" i="1" s="1"/>
  <c r="AO821" i="1"/>
  <c r="BH821" i="1" s="1"/>
  <c r="AF821" i="1" s="1"/>
  <c r="AK821" i="1"/>
  <c r="AJ821" i="1"/>
  <c r="AH821" i="1"/>
  <c r="AE821" i="1"/>
  <c r="AD821" i="1"/>
  <c r="AC821" i="1"/>
  <c r="AB821" i="1"/>
  <c r="Z821" i="1"/>
  <c r="J821" i="1"/>
  <c r="AL821" i="1" s="1"/>
  <c r="BJ820" i="1"/>
  <c r="BF820" i="1"/>
  <c r="BD820" i="1"/>
  <c r="AW820" i="1"/>
  <c r="AP820" i="1"/>
  <c r="BI820" i="1" s="1"/>
  <c r="AG820" i="1" s="1"/>
  <c r="AO820" i="1"/>
  <c r="BH820" i="1" s="1"/>
  <c r="AF820" i="1" s="1"/>
  <c r="AK820" i="1"/>
  <c r="AJ820" i="1"/>
  <c r="AH820" i="1"/>
  <c r="AE820" i="1"/>
  <c r="AD820" i="1"/>
  <c r="AC820" i="1"/>
  <c r="AB820" i="1"/>
  <c r="Z820" i="1"/>
  <c r="J820" i="1"/>
  <c r="AL820" i="1" s="1"/>
  <c r="I820" i="1"/>
  <c r="H820" i="1"/>
  <c r="BJ819" i="1"/>
  <c r="BF819" i="1"/>
  <c r="BD819" i="1"/>
  <c r="AW819" i="1"/>
  <c r="AP819" i="1"/>
  <c r="BI819" i="1" s="1"/>
  <c r="AG819" i="1" s="1"/>
  <c r="AO819" i="1"/>
  <c r="BH819" i="1" s="1"/>
  <c r="AF819" i="1" s="1"/>
  <c r="AK819" i="1"/>
  <c r="AT816" i="1" s="1"/>
  <c r="AJ819" i="1"/>
  <c r="AH819" i="1"/>
  <c r="AE819" i="1"/>
  <c r="AD819" i="1"/>
  <c r="AC819" i="1"/>
  <c r="AB819" i="1"/>
  <c r="Z819" i="1"/>
  <c r="J819" i="1"/>
  <c r="AL819" i="1" s="1"/>
  <c r="H819" i="1"/>
  <c r="BJ818" i="1"/>
  <c r="BF818" i="1"/>
  <c r="BD818" i="1"/>
  <c r="AP818" i="1"/>
  <c r="AO818" i="1"/>
  <c r="AW818" i="1" s="1"/>
  <c r="AK818" i="1"/>
  <c r="AJ818" i="1"/>
  <c r="AH818" i="1"/>
  <c r="AE818" i="1"/>
  <c r="AD818" i="1"/>
  <c r="AC818" i="1"/>
  <c r="AB818" i="1"/>
  <c r="Z818" i="1"/>
  <c r="J818" i="1"/>
  <c r="AL818" i="1" s="1"/>
  <c r="BJ817" i="1"/>
  <c r="BF817" i="1"/>
  <c r="BD817" i="1"/>
  <c r="AP817" i="1"/>
  <c r="AX817" i="1" s="1"/>
  <c r="AO817" i="1"/>
  <c r="BH817" i="1" s="1"/>
  <c r="AF817" i="1" s="1"/>
  <c r="AK817" i="1"/>
  <c r="AJ817" i="1"/>
  <c r="AH817" i="1"/>
  <c r="AE817" i="1"/>
  <c r="AD817" i="1"/>
  <c r="AC817" i="1"/>
  <c r="AB817" i="1"/>
  <c r="Z817" i="1"/>
  <c r="J817" i="1"/>
  <c r="AL817" i="1" s="1"/>
  <c r="BJ815" i="1"/>
  <c r="BF815" i="1"/>
  <c r="BD815" i="1"/>
  <c r="AX815" i="1"/>
  <c r="AP815" i="1"/>
  <c r="BI815" i="1" s="1"/>
  <c r="AG815" i="1" s="1"/>
  <c r="AO815" i="1"/>
  <c r="AW815" i="1" s="1"/>
  <c r="AK815" i="1"/>
  <c r="AJ815" i="1"/>
  <c r="AH815" i="1"/>
  <c r="AE815" i="1"/>
  <c r="AD815" i="1"/>
  <c r="AC815" i="1"/>
  <c r="AB815" i="1"/>
  <c r="Z815" i="1"/>
  <c r="J815" i="1"/>
  <c r="AL815" i="1" s="1"/>
  <c r="I815" i="1"/>
  <c r="BJ814" i="1"/>
  <c r="BF814" i="1"/>
  <c r="BD814" i="1"/>
  <c r="AP814" i="1"/>
  <c r="AX814" i="1" s="1"/>
  <c r="AO814" i="1"/>
  <c r="AK814" i="1"/>
  <c r="AJ814" i="1"/>
  <c r="AH814" i="1"/>
  <c r="AE814" i="1"/>
  <c r="AD814" i="1"/>
  <c r="AC814" i="1"/>
  <c r="AB814" i="1"/>
  <c r="Z814" i="1"/>
  <c r="J814" i="1"/>
  <c r="AL814" i="1" s="1"/>
  <c r="BJ813" i="1"/>
  <c r="BF813" i="1"/>
  <c r="BD813" i="1"/>
  <c r="AP813" i="1"/>
  <c r="BI813" i="1" s="1"/>
  <c r="AG813" i="1" s="1"/>
  <c r="AO813" i="1"/>
  <c r="BH813" i="1" s="1"/>
  <c r="AF813" i="1" s="1"/>
  <c r="AL813" i="1"/>
  <c r="AK813" i="1"/>
  <c r="AJ813" i="1"/>
  <c r="AH813" i="1"/>
  <c r="AE813" i="1"/>
  <c r="AD813" i="1"/>
  <c r="AC813" i="1"/>
  <c r="AB813" i="1"/>
  <c r="Z813" i="1"/>
  <c r="J813" i="1"/>
  <c r="I813" i="1"/>
  <c r="H813" i="1"/>
  <c r="BJ812" i="1"/>
  <c r="BF812" i="1"/>
  <c r="BD812" i="1"/>
  <c r="AP812" i="1"/>
  <c r="BI812" i="1" s="1"/>
  <c r="AG812" i="1" s="1"/>
  <c r="AO812" i="1"/>
  <c r="BH812" i="1" s="1"/>
  <c r="AF812" i="1" s="1"/>
  <c r="AK812" i="1"/>
  <c r="AJ812" i="1"/>
  <c r="AH812" i="1"/>
  <c r="AE812" i="1"/>
  <c r="AD812" i="1"/>
  <c r="AC812" i="1"/>
  <c r="AB812" i="1"/>
  <c r="Z812" i="1"/>
  <c r="J812" i="1"/>
  <c r="AL812" i="1" s="1"/>
  <c r="H812" i="1"/>
  <c r="BJ811" i="1"/>
  <c r="BF811" i="1"/>
  <c r="BD811" i="1"/>
  <c r="AP811" i="1"/>
  <c r="BI811" i="1" s="1"/>
  <c r="AG811" i="1" s="1"/>
  <c r="AO811" i="1"/>
  <c r="AW811" i="1" s="1"/>
  <c r="AK811" i="1"/>
  <c r="AJ811" i="1"/>
  <c r="AH811" i="1"/>
  <c r="AE811" i="1"/>
  <c r="AD811" i="1"/>
  <c r="AC811" i="1"/>
  <c r="AB811" i="1"/>
  <c r="Z811" i="1"/>
  <c r="J811" i="1"/>
  <c r="AL811" i="1" s="1"/>
  <c r="I811" i="1"/>
  <c r="BJ810" i="1"/>
  <c r="BF810" i="1"/>
  <c r="BD810" i="1"/>
  <c r="AP810" i="1"/>
  <c r="AX810" i="1" s="1"/>
  <c r="AO810" i="1"/>
  <c r="BH810" i="1" s="1"/>
  <c r="AF810" i="1" s="1"/>
  <c r="AK810" i="1"/>
  <c r="AJ810" i="1"/>
  <c r="AH810" i="1"/>
  <c r="AE810" i="1"/>
  <c r="AD810" i="1"/>
  <c r="AC810" i="1"/>
  <c r="AB810" i="1"/>
  <c r="Z810" i="1"/>
  <c r="J810" i="1"/>
  <c r="AL810" i="1" s="1"/>
  <c r="H810" i="1"/>
  <c r="BJ809" i="1"/>
  <c r="BF809" i="1"/>
  <c r="BD809" i="1"/>
  <c r="AP809" i="1"/>
  <c r="BI809" i="1" s="1"/>
  <c r="AG809" i="1" s="1"/>
  <c r="AO809" i="1"/>
  <c r="BH809" i="1" s="1"/>
  <c r="AF809" i="1" s="1"/>
  <c r="AK809" i="1"/>
  <c r="AJ809" i="1"/>
  <c r="AH809" i="1"/>
  <c r="AE809" i="1"/>
  <c r="AD809" i="1"/>
  <c r="AC809" i="1"/>
  <c r="AB809" i="1"/>
  <c r="Z809" i="1"/>
  <c r="J809" i="1"/>
  <c r="AL809" i="1" s="1"/>
  <c r="I809" i="1"/>
  <c r="H809" i="1"/>
  <c r="BJ808" i="1"/>
  <c r="BF808" i="1"/>
  <c r="BD808" i="1"/>
  <c r="AX808" i="1"/>
  <c r="AP808" i="1"/>
  <c r="BI808" i="1" s="1"/>
  <c r="AG808" i="1" s="1"/>
  <c r="AO808" i="1"/>
  <c r="BH808" i="1" s="1"/>
  <c r="AF808" i="1" s="1"/>
  <c r="AK808" i="1"/>
  <c r="AJ808" i="1"/>
  <c r="AH808" i="1"/>
  <c r="AE808" i="1"/>
  <c r="AD808" i="1"/>
  <c r="AC808" i="1"/>
  <c r="AB808" i="1"/>
  <c r="Z808" i="1"/>
  <c r="J808" i="1"/>
  <c r="AL808" i="1" s="1"/>
  <c r="I808" i="1"/>
  <c r="BJ807" i="1"/>
  <c r="BI807" i="1"/>
  <c r="AG807" i="1" s="1"/>
  <c r="BF807" i="1"/>
  <c r="BD807" i="1"/>
  <c r="AP807" i="1"/>
  <c r="AX807" i="1" s="1"/>
  <c r="AO807" i="1"/>
  <c r="H807" i="1" s="1"/>
  <c r="AK807" i="1"/>
  <c r="AJ807" i="1"/>
  <c r="AH807" i="1"/>
  <c r="AE807" i="1"/>
  <c r="AD807" i="1"/>
  <c r="AC807" i="1"/>
  <c r="AB807" i="1"/>
  <c r="Z807" i="1"/>
  <c r="J807" i="1"/>
  <c r="AL807" i="1" s="1"/>
  <c r="I807" i="1"/>
  <c r="BJ806" i="1"/>
  <c r="BF806" i="1"/>
  <c r="BD806" i="1"/>
  <c r="AP806" i="1"/>
  <c r="AO806" i="1"/>
  <c r="AW806" i="1" s="1"/>
  <c r="AK806" i="1"/>
  <c r="AJ806" i="1"/>
  <c r="AH806" i="1"/>
  <c r="AE806" i="1"/>
  <c r="AD806" i="1"/>
  <c r="AC806" i="1"/>
  <c r="AB806" i="1"/>
  <c r="Z806" i="1"/>
  <c r="J806" i="1"/>
  <c r="AL806" i="1" s="1"/>
  <c r="H806" i="1"/>
  <c r="BJ805" i="1"/>
  <c r="BI805" i="1"/>
  <c r="BF805" i="1"/>
  <c r="BD805" i="1"/>
  <c r="AP805" i="1"/>
  <c r="AX805" i="1" s="1"/>
  <c r="AO805" i="1"/>
  <c r="BH805" i="1" s="1"/>
  <c r="AK805" i="1"/>
  <c r="AJ805" i="1"/>
  <c r="AH805" i="1"/>
  <c r="AG805" i="1"/>
  <c r="AF805" i="1"/>
  <c r="AE805" i="1"/>
  <c r="AD805" i="1"/>
  <c r="AC805" i="1"/>
  <c r="AB805" i="1"/>
  <c r="Z805" i="1"/>
  <c r="J805" i="1"/>
  <c r="AL805" i="1" s="1"/>
  <c r="I805" i="1"/>
  <c r="H805" i="1"/>
  <c r="BJ804" i="1"/>
  <c r="BF804" i="1"/>
  <c r="BD804" i="1"/>
  <c r="AX804" i="1"/>
  <c r="AP804" i="1"/>
  <c r="BI804" i="1" s="1"/>
  <c r="AG804" i="1" s="1"/>
  <c r="AO804" i="1"/>
  <c r="BH804" i="1" s="1"/>
  <c r="AF804" i="1" s="1"/>
  <c r="AK804" i="1"/>
  <c r="AJ804" i="1"/>
  <c r="AH804" i="1"/>
  <c r="AE804" i="1"/>
  <c r="AD804" i="1"/>
  <c r="AC804" i="1"/>
  <c r="AB804" i="1"/>
  <c r="Z804" i="1"/>
  <c r="J804" i="1"/>
  <c r="AL804" i="1" s="1"/>
  <c r="I804" i="1"/>
  <c r="BJ803" i="1"/>
  <c r="BF803" i="1"/>
  <c r="BD803" i="1"/>
  <c r="AW803" i="1"/>
  <c r="AP803" i="1"/>
  <c r="BI803" i="1" s="1"/>
  <c r="AG803" i="1" s="1"/>
  <c r="AO803" i="1"/>
  <c r="H803" i="1" s="1"/>
  <c r="AK803" i="1"/>
  <c r="AJ803" i="1"/>
  <c r="AH803" i="1"/>
  <c r="AE803" i="1"/>
  <c r="AD803" i="1"/>
  <c r="AC803" i="1"/>
  <c r="AB803" i="1"/>
  <c r="Z803" i="1"/>
  <c r="J803" i="1"/>
  <c r="AL803" i="1" s="1"/>
  <c r="BJ802" i="1"/>
  <c r="BF802" i="1"/>
  <c r="BD802" i="1"/>
  <c r="AP802" i="1"/>
  <c r="AO802" i="1"/>
  <c r="AW802" i="1" s="1"/>
  <c r="AK802" i="1"/>
  <c r="AJ802" i="1"/>
  <c r="AH802" i="1"/>
  <c r="AE802" i="1"/>
  <c r="AD802" i="1"/>
  <c r="AC802" i="1"/>
  <c r="AB802" i="1"/>
  <c r="Z802" i="1"/>
  <c r="J802" i="1"/>
  <c r="AL802" i="1" s="1"/>
  <c r="H802" i="1"/>
  <c r="BJ800" i="1"/>
  <c r="BF800" i="1"/>
  <c r="BD800" i="1"/>
  <c r="AP800" i="1"/>
  <c r="AX800" i="1" s="1"/>
  <c r="AO800" i="1"/>
  <c r="BH800" i="1" s="1"/>
  <c r="AF800" i="1" s="1"/>
  <c r="AK800" i="1"/>
  <c r="AJ800" i="1"/>
  <c r="AH800" i="1"/>
  <c r="AE800" i="1"/>
  <c r="AD800" i="1"/>
  <c r="AC800" i="1"/>
  <c r="AB800" i="1"/>
  <c r="Z800" i="1"/>
  <c r="J800" i="1"/>
  <c r="AL800" i="1" s="1"/>
  <c r="BJ799" i="1"/>
  <c r="BF799" i="1"/>
  <c r="BD799" i="1"/>
  <c r="AP799" i="1"/>
  <c r="BI799" i="1" s="1"/>
  <c r="AG799" i="1" s="1"/>
  <c r="AO799" i="1"/>
  <c r="BH799" i="1" s="1"/>
  <c r="AF799" i="1" s="1"/>
  <c r="AK799" i="1"/>
  <c r="AJ799" i="1"/>
  <c r="AH799" i="1"/>
  <c r="AE799" i="1"/>
  <c r="AD799" i="1"/>
  <c r="AC799" i="1"/>
  <c r="AB799" i="1"/>
  <c r="Z799" i="1"/>
  <c r="J799" i="1"/>
  <c r="AL799" i="1" s="1"/>
  <c r="BJ798" i="1"/>
  <c r="BF798" i="1"/>
  <c r="BD798" i="1"/>
  <c r="AP798" i="1"/>
  <c r="BI798" i="1" s="1"/>
  <c r="AG798" i="1" s="1"/>
  <c r="AO798" i="1"/>
  <c r="AL798" i="1"/>
  <c r="AK798" i="1"/>
  <c r="AJ798" i="1"/>
  <c r="AH798" i="1"/>
  <c r="AE798" i="1"/>
  <c r="AD798" i="1"/>
  <c r="AC798" i="1"/>
  <c r="AB798" i="1"/>
  <c r="Z798" i="1"/>
  <c r="J798" i="1"/>
  <c r="I798" i="1"/>
  <c r="H798" i="1"/>
  <c r="BJ797" i="1"/>
  <c r="BF797" i="1"/>
  <c r="BD797" i="1"/>
  <c r="AX797" i="1"/>
  <c r="AP797" i="1"/>
  <c r="BI797" i="1" s="1"/>
  <c r="AG797" i="1" s="1"/>
  <c r="AO797" i="1"/>
  <c r="AW797" i="1" s="1"/>
  <c r="AK797" i="1"/>
  <c r="AJ797" i="1"/>
  <c r="AH797" i="1"/>
  <c r="AE797" i="1"/>
  <c r="AD797" i="1"/>
  <c r="AC797" i="1"/>
  <c r="AB797" i="1"/>
  <c r="Z797" i="1"/>
  <c r="J797" i="1"/>
  <c r="AL797" i="1" s="1"/>
  <c r="I797" i="1"/>
  <c r="BJ796" i="1"/>
  <c r="BF796" i="1"/>
  <c r="BD796" i="1"/>
  <c r="AP796" i="1"/>
  <c r="AX796" i="1" s="1"/>
  <c r="AO796" i="1"/>
  <c r="BH796" i="1" s="1"/>
  <c r="AF796" i="1" s="1"/>
  <c r="AK796" i="1"/>
  <c r="AJ796" i="1"/>
  <c r="AH796" i="1"/>
  <c r="AE796" i="1"/>
  <c r="AD796" i="1"/>
  <c r="AC796" i="1"/>
  <c r="AB796" i="1"/>
  <c r="Z796" i="1"/>
  <c r="J796" i="1"/>
  <c r="AL796" i="1" s="1"/>
  <c r="BJ795" i="1"/>
  <c r="BF795" i="1"/>
  <c r="BD795" i="1"/>
  <c r="AP795" i="1"/>
  <c r="BI795" i="1" s="1"/>
  <c r="AG795" i="1" s="1"/>
  <c r="AO795" i="1"/>
  <c r="BH795" i="1" s="1"/>
  <c r="AF795" i="1" s="1"/>
  <c r="AK795" i="1"/>
  <c r="AJ795" i="1"/>
  <c r="AH795" i="1"/>
  <c r="AE795" i="1"/>
  <c r="AD795" i="1"/>
  <c r="AC795" i="1"/>
  <c r="AB795" i="1"/>
  <c r="Z795" i="1"/>
  <c r="J795" i="1"/>
  <c r="AL795" i="1" s="1"/>
  <c r="H795" i="1"/>
  <c r="BJ794" i="1"/>
  <c r="BF794" i="1"/>
  <c r="BD794" i="1"/>
  <c r="AW794" i="1"/>
  <c r="AP794" i="1"/>
  <c r="BI794" i="1" s="1"/>
  <c r="AG794" i="1" s="1"/>
  <c r="AO794" i="1"/>
  <c r="BH794" i="1" s="1"/>
  <c r="AF794" i="1" s="1"/>
  <c r="AK794" i="1"/>
  <c r="AJ794" i="1"/>
  <c r="AH794" i="1"/>
  <c r="AE794" i="1"/>
  <c r="AD794" i="1"/>
  <c r="AC794" i="1"/>
  <c r="AB794" i="1"/>
  <c r="Z794" i="1"/>
  <c r="J794" i="1"/>
  <c r="AL794" i="1" s="1"/>
  <c r="I794" i="1"/>
  <c r="H794" i="1"/>
  <c r="BJ793" i="1"/>
  <c r="BF793" i="1"/>
  <c r="BD793" i="1"/>
  <c r="AP793" i="1"/>
  <c r="BI793" i="1" s="1"/>
  <c r="AG793" i="1" s="1"/>
  <c r="AO793" i="1"/>
  <c r="AW793" i="1" s="1"/>
  <c r="AK793" i="1"/>
  <c r="AJ793" i="1"/>
  <c r="AH793" i="1"/>
  <c r="AE793" i="1"/>
  <c r="AD793" i="1"/>
  <c r="AC793" i="1"/>
  <c r="AB793" i="1"/>
  <c r="Z793" i="1"/>
  <c r="J793" i="1"/>
  <c r="AL793" i="1" s="1"/>
  <c r="BJ792" i="1"/>
  <c r="BF792" i="1"/>
  <c r="BD792" i="1"/>
  <c r="AP792" i="1"/>
  <c r="AX792" i="1" s="1"/>
  <c r="AO792" i="1"/>
  <c r="BH792" i="1" s="1"/>
  <c r="AF792" i="1" s="1"/>
  <c r="AK792" i="1"/>
  <c r="AJ792" i="1"/>
  <c r="AH792" i="1"/>
  <c r="AE792" i="1"/>
  <c r="AD792" i="1"/>
  <c r="AC792" i="1"/>
  <c r="AB792" i="1"/>
  <c r="Z792" i="1"/>
  <c r="J792" i="1"/>
  <c r="AL792" i="1" s="1"/>
  <c r="BJ791" i="1"/>
  <c r="BF791" i="1"/>
  <c r="BD791" i="1"/>
  <c r="AP791" i="1"/>
  <c r="BI791" i="1" s="1"/>
  <c r="AG791" i="1" s="1"/>
  <c r="AO791" i="1"/>
  <c r="BH791" i="1" s="1"/>
  <c r="AF791" i="1" s="1"/>
  <c r="AK791" i="1"/>
  <c r="AJ791" i="1"/>
  <c r="AH791" i="1"/>
  <c r="AE791" i="1"/>
  <c r="AD791" i="1"/>
  <c r="AC791" i="1"/>
  <c r="AB791" i="1"/>
  <c r="Z791" i="1"/>
  <c r="J791" i="1"/>
  <c r="AL791" i="1" s="1"/>
  <c r="H791" i="1"/>
  <c r="BJ790" i="1"/>
  <c r="BF790" i="1"/>
  <c r="BD790" i="1"/>
  <c r="AW790" i="1"/>
  <c r="AP790" i="1"/>
  <c r="BI790" i="1" s="1"/>
  <c r="AG790" i="1" s="1"/>
  <c r="AO790" i="1"/>
  <c r="BH790" i="1" s="1"/>
  <c r="AF790" i="1" s="1"/>
  <c r="AK790" i="1"/>
  <c r="AJ790" i="1"/>
  <c r="AH790" i="1"/>
  <c r="AE790" i="1"/>
  <c r="AD790" i="1"/>
  <c r="AC790" i="1"/>
  <c r="AB790" i="1"/>
  <c r="Z790" i="1"/>
  <c r="J790" i="1"/>
  <c r="AL790" i="1" s="1"/>
  <c r="I790" i="1"/>
  <c r="H790" i="1"/>
  <c r="BJ789" i="1"/>
  <c r="BF789" i="1"/>
  <c r="BD789" i="1"/>
  <c r="AX789" i="1"/>
  <c r="AP789" i="1"/>
  <c r="BI789" i="1" s="1"/>
  <c r="AG789" i="1" s="1"/>
  <c r="AO789" i="1"/>
  <c r="AW789" i="1" s="1"/>
  <c r="AK789" i="1"/>
  <c r="AJ789" i="1"/>
  <c r="AH789" i="1"/>
  <c r="AE789" i="1"/>
  <c r="AD789" i="1"/>
  <c r="AC789" i="1"/>
  <c r="AB789" i="1"/>
  <c r="Z789" i="1"/>
  <c r="J789" i="1"/>
  <c r="AL789" i="1" s="1"/>
  <c r="I789" i="1"/>
  <c r="BJ788" i="1"/>
  <c r="BF788" i="1"/>
  <c r="BD788" i="1"/>
  <c r="AP788" i="1"/>
  <c r="AX788" i="1" s="1"/>
  <c r="AO788" i="1"/>
  <c r="BH788" i="1" s="1"/>
  <c r="AF788" i="1" s="1"/>
  <c r="AK788" i="1"/>
  <c r="AJ788" i="1"/>
  <c r="AH788" i="1"/>
  <c r="AE788" i="1"/>
  <c r="AD788" i="1"/>
  <c r="AC788" i="1"/>
  <c r="AB788" i="1"/>
  <c r="Z788" i="1"/>
  <c r="J788" i="1"/>
  <c r="AL788" i="1" s="1"/>
  <c r="BJ787" i="1"/>
  <c r="BF787" i="1"/>
  <c r="BD787" i="1"/>
  <c r="AP787" i="1"/>
  <c r="BI787" i="1" s="1"/>
  <c r="AG787" i="1" s="1"/>
  <c r="AO787" i="1"/>
  <c r="BH787" i="1" s="1"/>
  <c r="AF787" i="1" s="1"/>
  <c r="AK787" i="1"/>
  <c r="AJ787" i="1"/>
  <c r="AH787" i="1"/>
  <c r="AE787" i="1"/>
  <c r="AD787" i="1"/>
  <c r="AC787" i="1"/>
  <c r="AB787" i="1"/>
  <c r="Z787" i="1"/>
  <c r="J787" i="1"/>
  <c r="AL787" i="1" s="1"/>
  <c r="H787" i="1"/>
  <c r="BJ785" i="1"/>
  <c r="BF785" i="1"/>
  <c r="BD785" i="1"/>
  <c r="AP785" i="1"/>
  <c r="AX785" i="1" s="1"/>
  <c r="AO785" i="1"/>
  <c r="BH785" i="1" s="1"/>
  <c r="AF785" i="1" s="1"/>
  <c r="AK785" i="1"/>
  <c r="AJ785" i="1"/>
  <c r="AH785" i="1"/>
  <c r="AE785" i="1"/>
  <c r="AD785" i="1"/>
  <c r="AC785" i="1"/>
  <c r="AB785" i="1"/>
  <c r="Z785" i="1"/>
  <c r="J785" i="1"/>
  <c r="AL785" i="1" s="1"/>
  <c r="BJ784" i="1"/>
  <c r="BF784" i="1"/>
  <c r="BD784" i="1"/>
  <c r="AP784" i="1"/>
  <c r="BI784" i="1" s="1"/>
  <c r="AG784" i="1" s="1"/>
  <c r="AO784" i="1"/>
  <c r="BH784" i="1" s="1"/>
  <c r="AF784" i="1" s="1"/>
  <c r="AK784" i="1"/>
  <c r="AJ784" i="1"/>
  <c r="AH784" i="1"/>
  <c r="AE784" i="1"/>
  <c r="AD784" i="1"/>
  <c r="AC784" i="1"/>
  <c r="AB784" i="1"/>
  <c r="Z784" i="1"/>
  <c r="J784" i="1"/>
  <c r="AL784" i="1" s="1"/>
  <c r="H784" i="1"/>
  <c r="BJ783" i="1"/>
  <c r="BF783" i="1"/>
  <c r="BD783" i="1"/>
  <c r="AW783" i="1"/>
  <c r="AP783" i="1"/>
  <c r="BI783" i="1" s="1"/>
  <c r="AG783" i="1" s="1"/>
  <c r="AO783" i="1"/>
  <c r="BH783" i="1" s="1"/>
  <c r="AF783" i="1" s="1"/>
  <c r="AK783" i="1"/>
  <c r="AJ783" i="1"/>
  <c r="AH783" i="1"/>
  <c r="AE783" i="1"/>
  <c r="AD783" i="1"/>
  <c r="AC783" i="1"/>
  <c r="AB783" i="1"/>
  <c r="Z783" i="1"/>
  <c r="J783" i="1"/>
  <c r="AL783" i="1" s="1"/>
  <c r="I783" i="1"/>
  <c r="H783" i="1"/>
  <c r="BJ782" i="1"/>
  <c r="BF782" i="1"/>
  <c r="BD782" i="1"/>
  <c r="AP782" i="1"/>
  <c r="BI782" i="1" s="1"/>
  <c r="AG782" i="1" s="1"/>
  <c r="AO782" i="1"/>
  <c r="AW782" i="1" s="1"/>
  <c r="AK782" i="1"/>
  <c r="AJ782" i="1"/>
  <c r="AH782" i="1"/>
  <c r="AE782" i="1"/>
  <c r="AD782" i="1"/>
  <c r="AC782" i="1"/>
  <c r="AB782" i="1"/>
  <c r="Z782" i="1"/>
  <c r="J782" i="1"/>
  <c r="AL782" i="1" s="1"/>
  <c r="BJ781" i="1"/>
  <c r="BF781" i="1"/>
  <c r="BD781" i="1"/>
  <c r="AP781" i="1"/>
  <c r="AX781" i="1" s="1"/>
  <c r="AO781" i="1"/>
  <c r="BH781" i="1" s="1"/>
  <c r="AF781" i="1" s="1"/>
  <c r="AK781" i="1"/>
  <c r="AJ781" i="1"/>
  <c r="AH781" i="1"/>
  <c r="AE781" i="1"/>
  <c r="AD781" i="1"/>
  <c r="AC781" i="1"/>
  <c r="AB781" i="1"/>
  <c r="Z781" i="1"/>
  <c r="J781" i="1"/>
  <c r="AL781" i="1" s="1"/>
  <c r="BJ780" i="1"/>
  <c r="BF780" i="1"/>
  <c r="BD780" i="1"/>
  <c r="AP780" i="1"/>
  <c r="BI780" i="1" s="1"/>
  <c r="AG780" i="1" s="1"/>
  <c r="AO780" i="1"/>
  <c r="BH780" i="1" s="1"/>
  <c r="AF780" i="1" s="1"/>
  <c r="AK780" i="1"/>
  <c r="AJ780" i="1"/>
  <c r="AH780" i="1"/>
  <c r="AE780" i="1"/>
  <c r="AD780" i="1"/>
  <c r="AC780" i="1"/>
  <c r="AB780" i="1"/>
  <c r="Z780" i="1"/>
  <c r="J780" i="1"/>
  <c r="AL780" i="1" s="1"/>
  <c r="H780" i="1"/>
  <c r="BJ779" i="1"/>
  <c r="BF779" i="1"/>
  <c r="BD779" i="1"/>
  <c r="AW779" i="1"/>
  <c r="AP779" i="1"/>
  <c r="BI779" i="1" s="1"/>
  <c r="AG779" i="1" s="1"/>
  <c r="AO779" i="1"/>
  <c r="BH779" i="1" s="1"/>
  <c r="AF779" i="1" s="1"/>
  <c r="AK779" i="1"/>
  <c r="AJ779" i="1"/>
  <c r="AH779" i="1"/>
  <c r="AE779" i="1"/>
  <c r="AD779" i="1"/>
  <c r="AC779" i="1"/>
  <c r="AB779" i="1"/>
  <c r="Z779" i="1"/>
  <c r="J779" i="1"/>
  <c r="AL779" i="1" s="1"/>
  <c r="I779" i="1"/>
  <c r="H779" i="1"/>
  <c r="BJ778" i="1"/>
  <c r="BF778" i="1"/>
  <c r="BD778" i="1"/>
  <c r="AX778" i="1"/>
  <c r="AP778" i="1"/>
  <c r="BI778" i="1" s="1"/>
  <c r="AG778" i="1" s="1"/>
  <c r="AO778" i="1"/>
  <c r="AW778" i="1" s="1"/>
  <c r="AK778" i="1"/>
  <c r="AJ778" i="1"/>
  <c r="AH778" i="1"/>
  <c r="AE778" i="1"/>
  <c r="AD778" i="1"/>
  <c r="AC778" i="1"/>
  <c r="AB778" i="1"/>
  <c r="Z778" i="1"/>
  <c r="J778" i="1"/>
  <c r="AL778" i="1" s="1"/>
  <c r="I778" i="1"/>
  <c r="BJ777" i="1"/>
  <c r="BF777" i="1"/>
  <c r="BD777" i="1"/>
  <c r="AP777" i="1"/>
  <c r="AX777" i="1" s="1"/>
  <c r="AO777" i="1"/>
  <c r="BH777" i="1" s="1"/>
  <c r="AF777" i="1" s="1"/>
  <c r="AK777" i="1"/>
  <c r="AJ777" i="1"/>
  <c r="AH777" i="1"/>
  <c r="AE777" i="1"/>
  <c r="AD777" i="1"/>
  <c r="AC777" i="1"/>
  <c r="AB777" i="1"/>
  <c r="Z777" i="1"/>
  <c r="J777" i="1"/>
  <c r="AL777" i="1" s="1"/>
  <c r="H777" i="1"/>
  <c r="BJ776" i="1"/>
  <c r="BF776" i="1"/>
  <c r="BD776" i="1"/>
  <c r="AW776" i="1"/>
  <c r="AP776" i="1"/>
  <c r="BI776" i="1" s="1"/>
  <c r="AO776" i="1"/>
  <c r="BH776" i="1" s="1"/>
  <c r="AF776" i="1" s="1"/>
  <c r="AL776" i="1"/>
  <c r="AK776" i="1"/>
  <c r="AJ776" i="1"/>
  <c r="AH776" i="1"/>
  <c r="AG776" i="1"/>
  <c r="AE776" i="1"/>
  <c r="AD776" i="1"/>
  <c r="AC776" i="1"/>
  <c r="AB776" i="1"/>
  <c r="Z776" i="1"/>
  <c r="J776" i="1"/>
  <c r="H776" i="1"/>
  <c r="BJ775" i="1"/>
  <c r="BF775" i="1"/>
  <c r="BD775" i="1"/>
  <c r="AP775" i="1"/>
  <c r="BI775" i="1" s="1"/>
  <c r="AG775" i="1" s="1"/>
  <c r="AO775" i="1"/>
  <c r="AK775" i="1"/>
  <c r="AJ775" i="1"/>
  <c r="AH775" i="1"/>
  <c r="AE775" i="1"/>
  <c r="AD775" i="1"/>
  <c r="AC775" i="1"/>
  <c r="AB775" i="1"/>
  <c r="Z775" i="1"/>
  <c r="J775" i="1"/>
  <c r="AL775" i="1" s="1"/>
  <c r="BJ774" i="1"/>
  <c r="BF774" i="1"/>
  <c r="BD774" i="1"/>
  <c r="AP774" i="1"/>
  <c r="AO774" i="1"/>
  <c r="AW774" i="1" s="1"/>
  <c r="AK774" i="1"/>
  <c r="AJ774" i="1"/>
  <c r="AH774" i="1"/>
  <c r="AE774" i="1"/>
  <c r="AD774" i="1"/>
  <c r="AC774" i="1"/>
  <c r="AB774" i="1"/>
  <c r="Z774" i="1"/>
  <c r="J774" i="1"/>
  <c r="AL774" i="1" s="1"/>
  <c r="H774" i="1"/>
  <c r="BJ773" i="1"/>
  <c r="BF773" i="1"/>
  <c r="BD773" i="1"/>
  <c r="AW773" i="1"/>
  <c r="AP773" i="1"/>
  <c r="AX773" i="1" s="1"/>
  <c r="AV773" i="1" s="1"/>
  <c r="AO773" i="1"/>
  <c r="BH773" i="1" s="1"/>
  <c r="AF773" i="1" s="1"/>
  <c r="AL773" i="1"/>
  <c r="AK773" i="1"/>
  <c r="AJ773" i="1"/>
  <c r="AH773" i="1"/>
  <c r="AE773" i="1"/>
  <c r="AD773" i="1"/>
  <c r="AC773" i="1"/>
  <c r="AB773" i="1"/>
  <c r="Z773" i="1"/>
  <c r="J773" i="1"/>
  <c r="I773" i="1"/>
  <c r="H773" i="1"/>
  <c r="BJ772" i="1"/>
  <c r="BF772" i="1"/>
  <c r="BD772" i="1"/>
  <c r="AX772" i="1"/>
  <c r="AW772" i="1"/>
  <c r="AP772" i="1"/>
  <c r="BI772" i="1" s="1"/>
  <c r="AG772" i="1" s="1"/>
  <c r="AO772" i="1"/>
  <c r="BH772" i="1" s="1"/>
  <c r="AF772" i="1" s="1"/>
  <c r="AK772" i="1"/>
  <c r="AJ772" i="1"/>
  <c r="AH772" i="1"/>
  <c r="AE772" i="1"/>
  <c r="AD772" i="1"/>
  <c r="AC772" i="1"/>
  <c r="AB772" i="1"/>
  <c r="Z772" i="1"/>
  <c r="J772" i="1"/>
  <c r="AL772" i="1" s="1"/>
  <c r="I772" i="1"/>
  <c r="BJ771" i="1"/>
  <c r="BF771" i="1"/>
  <c r="BD771" i="1"/>
  <c r="AP771" i="1"/>
  <c r="BI771" i="1" s="1"/>
  <c r="AG771" i="1" s="1"/>
  <c r="AO771" i="1"/>
  <c r="AK771" i="1"/>
  <c r="AJ771" i="1"/>
  <c r="AH771" i="1"/>
  <c r="AE771" i="1"/>
  <c r="AD771" i="1"/>
  <c r="AC771" i="1"/>
  <c r="AB771" i="1"/>
  <c r="Z771" i="1"/>
  <c r="J771" i="1"/>
  <c r="AL771" i="1" s="1"/>
  <c r="BJ770" i="1"/>
  <c r="BF770" i="1"/>
  <c r="BD770" i="1"/>
  <c r="AP770" i="1"/>
  <c r="AO770" i="1"/>
  <c r="AW770" i="1" s="1"/>
  <c r="AK770" i="1"/>
  <c r="AJ770" i="1"/>
  <c r="AH770" i="1"/>
  <c r="AE770" i="1"/>
  <c r="AD770" i="1"/>
  <c r="AC770" i="1"/>
  <c r="AB770" i="1"/>
  <c r="Z770" i="1"/>
  <c r="J770" i="1"/>
  <c r="AL770" i="1" s="1"/>
  <c r="H770" i="1"/>
  <c r="BJ769" i="1"/>
  <c r="BF769" i="1"/>
  <c r="BD769" i="1"/>
  <c r="AW769" i="1"/>
  <c r="AP769" i="1"/>
  <c r="AX769" i="1" s="1"/>
  <c r="AO769" i="1"/>
  <c r="BH769" i="1" s="1"/>
  <c r="AF769" i="1" s="1"/>
  <c r="AK769" i="1"/>
  <c r="AJ769" i="1"/>
  <c r="AH769" i="1"/>
  <c r="AE769" i="1"/>
  <c r="AD769" i="1"/>
  <c r="AC769" i="1"/>
  <c r="AB769" i="1"/>
  <c r="Z769" i="1"/>
  <c r="J769" i="1"/>
  <c r="AL769" i="1" s="1"/>
  <c r="I769" i="1"/>
  <c r="H769" i="1"/>
  <c r="BJ768" i="1"/>
  <c r="BF768" i="1"/>
  <c r="BD768" i="1"/>
  <c r="AP768" i="1"/>
  <c r="BI768" i="1" s="1"/>
  <c r="AG768" i="1" s="1"/>
  <c r="AO768" i="1"/>
  <c r="BH768" i="1" s="1"/>
  <c r="AF768" i="1" s="1"/>
  <c r="AK768" i="1"/>
  <c r="AJ768" i="1"/>
  <c r="AH768" i="1"/>
  <c r="AE768" i="1"/>
  <c r="AD768" i="1"/>
  <c r="AC768" i="1"/>
  <c r="AB768" i="1"/>
  <c r="Z768" i="1"/>
  <c r="J768" i="1"/>
  <c r="AL768" i="1" s="1"/>
  <c r="I768" i="1"/>
  <c r="BJ767" i="1"/>
  <c r="BF767" i="1"/>
  <c r="BD767" i="1"/>
  <c r="AX767" i="1"/>
  <c r="AP767" i="1"/>
  <c r="BI767" i="1" s="1"/>
  <c r="AG767" i="1" s="1"/>
  <c r="AO767" i="1"/>
  <c r="AK767" i="1"/>
  <c r="AJ767" i="1"/>
  <c r="AH767" i="1"/>
  <c r="AE767" i="1"/>
  <c r="AD767" i="1"/>
  <c r="AC767" i="1"/>
  <c r="AB767" i="1"/>
  <c r="Z767" i="1"/>
  <c r="J767" i="1"/>
  <c r="AT766" i="1"/>
  <c r="BJ765" i="1"/>
  <c r="BF765" i="1"/>
  <c r="BD765" i="1"/>
  <c r="AX765" i="1"/>
  <c r="AP765" i="1"/>
  <c r="BI765" i="1" s="1"/>
  <c r="AG765" i="1" s="1"/>
  <c r="AO765" i="1"/>
  <c r="BH765" i="1" s="1"/>
  <c r="AF765" i="1" s="1"/>
  <c r="AK765" i="1"/>
  <c r="AJ765" i="1"/>
  <c r="AH765" i="1"/>
  <c r="AE765" i="1"/>
  <c r="AD765" i="1"/>
  <c r="AC765" i="1"/>
  <c r="AB765" i="1"/>
  <c r="Z765" i="1"/>
  <c r="J765" i="1"/>
  <c r="AL765" i="1" s="1"/>
  <c r="I765" i="1"/>
  <c r="BJ764" i="1"/>
  <c r="BF764" i="1"/>
  <c r="BD764" i="1"/>
  <c r="AP764" i="1"/>
  <c r="AO764" i="1"/>
  <c r="AK764" i="1"/>
  <c r="AJ764" i="1"/>
  <c r="AH764" i="1"/>
  <c r="AE764" i="1"/>
  <c r="AD764" i="1"/>
  <c r="AC764" i="1"/>
  <c r="AB764" i="1"/>
  <c r="Z764" i="1"/>
  <c r="J764" i="1"/>
  <c r="AL764" i="1" s="1"/>
  <c r="BJ763" i="1"/>
  <c r="BF763" i="1"/>
  <c r="BD763" i="1"/>
  <c r="AP763" i="1"/>
  <c r="AO763" i="1"/>
  <c r="AW763" i="1" s="1"/>
  <c r="AK763" i="1"/>
  <c r="AJ763" i="1"/>
  <c r="AH763" i="1"/>
  <c r="AE763" i="1"/>
  <c r="AD763" i="1"/>
  <c r="AC763" i="1"/>
  <c r="AB763" i="1"/>
  <c r="Z763" i="1"/>
  <c r="J763" i="1"/>
  <c r="AL763" i="1" s="1"/>
  <c r="H763" i="1"/>
  <c r="BJ762" i="1"/>
  <c r="BF762" i="1"/>
  <c r="BD762" i="1"/>
  <c r="AW762" i="1"/>
  <c r="AP762" i="1"/>
  <c r="AX762" i="1" s="1"/>
  <c r="AV762" i="1" s="1"/>
  <c r="AO762" i="1"/>
  <c r="BH762" i="1" s="1"/>
  <c r="AF762" i="1" s="1"/>
  <c r="AL762" i="1"/>
  <c r="AK762" i="1"/>
  <c r="AJ762" i="1"/>
  <c r="AH762" i="1"/>
  <c r="AE762" i="1"/>
  <c r="AD762" i="1"/>
  <c r="AC762" i="1"/>
  <c r="AB762" i="1"/>
  <c r="Z762" i="1"/>
  <c r="J762" i="1"/>
  <c r="I762" i="1"/>
  <c r="H762" i="1"/>
  <c r="BJ761" i="1"/>
  <c r="BF761" i="1"/>
  <c r="BD761" i="1"/>
  <c r="AW761" i="1"/>
  <c r="AP761" i="1"/>
  <c r="AO761" i="1"/>
  <c r="BH761" i="1" s="1"/>
  <c r="AF761" i="1" s="1"/>
  <c r="AK761" i="1"/>
  <c r="AJ761" i="1"/>
  <c r="AH761" i="1"/>
  <c r="AE761" i="1"/>
  <c r="AD761" i="1"/>
  <c r="AC761" i="1"/>
  <c r="AB761" i="1"/>
  <c r="Z761" i="1"/>
  <c r="J761" i="1"/>
  <c r="AL761" i="1" s="1"/>
  <c r="BJ760" i="1"/>
  <c r="BF760" i="1"/>
  <c r="BD760" i="1"/>
  <c r="AP760" i="1"/>
  <c r="BI760" i="1" s="1"/>
  <c r="AG760" i="1" s="1"/>
  <c r="AO760" i="1"/>
  <c r="AK760" i="1"/>
  <c r="AJ760" i="1"/>
  <c r="AH760" i="1"/>
  <c r="AE760" i="1"/>
  <c r="AD760" i="1"/>
  <c r="AC760" i="1"/>
  <c r="AB760" i="1"/>
  <c r="Z760" i="1"/>
  <c r="J760" i="1"/>
  <c r="AL760" i="1" s="1"/>
  <c r="BJ759" i="1"/>
  <c r="BF759" i="1"/>
  <c r="BD759" i="1"/>
  <c r="AP759" i="1"/>
  <c r="AO759" i="1"/>
  <c r="AW759" i="1" s="1"/>
  <c r="AK759" i="1"/>
  <c r="AJ759" i="1"/>
  <c r="AH759" i="1"/>
  <c r="AE759" i="1"/>
  <c r="AD759" i="1"/>
  <c r="AC759" i="1"/>
  <c r="AB759" i="1"/>
  <c r="Z759" i="1"/>
  <c r="J759" i="1"/>
  <c r="AL759" i="1" s="1"/>
  <c r="H759" i="1"/>
  <c r="BJ758" i="1"/>
  <c r="BF758" i="1"/>
  <c r="BD758" i="1"/>
  <c r="AP758" i="1"/>
  <c r="AX758" i="1" s="1"/>
  <c r="AO758" i="1"/>
  <c r="AL758" i="1"/>
  <c r="AK758" i="1"/>
  <c r="AJ758" i="1"/>
  <c r="AH758" i="1"/>
  <c r="AE758" i="1"/>
  <c r="AD758" i="1"/>
  <c r="AC758" i="1"/>
  <c r="AB758" i="1"/>
  <c r="Z758" i="1"/>
  <c r="J758" i="1"/>
  <c r="I758" i="1"/>
  <c r="H758" i="1"/>
  <c r="BJ757" i="1"/>
  <c r="BF757" i="1"/>
  <c r="BD757" i="1"/>
  <c r="AX757" i="1"/>
  <c r="AP757" i="1"/>
  <c r="BI757" i="1" s="1"/>
  <c r="AG757" i="1" s="1"/>
  <c r="AO757" i="1"/>
  <c r="BH757" i="1" s="1"/>
  <c r="AF757" i="1" s="1"/>
  <c r="AK757" i="1"/>
  <c r="AJ757" i="1"/>
  <c r="AH757" i="1"/>
  <c r="AE757" i="1"/>
  <c r="AD757" i="1"/>
  <c r="AC757" i="1"/>
  <c r="AB757" i="1"/>
  <c r="Z757" i="1"/>
  <c r="J757" i="1"/>
  <c r="AL757" i="1" s="1"/>
  <c r="I757" i="1"/>
  <c r="BJ756" i="1"/>
  <c r="BF756" i="1"/>
  <c r="BD756" i="1"/>
  <c r="AP756" i="1"/>
  <c r="AO756" i="1"/>
  <c r="AK756" i="1"/>
  <c r="AJ756" i="1"/>
  <c r="AH756" i="1"/>
  <c r="AE756" i="1"/>
  <c r="AD756" i="1"/>
  <c r="AC756" i="1"/>
  <c r="AB756" i="1"/>
  <c r="Z756" i="1"/>
  <c r="J756" i="1"/>
  <c r="AL756" i="1" s="1"/>
  <c r="BJ755" i="1"/>
  <c r="BF755" i="1"/>
  <c r="BD755" i="1"/>
  <c r="AP755" i="1"/>
  <c r="AO755" i="1"/>
  <c r="AW755" i="1" s="1"/>
  <c r="AK755" i="1"/>
  <c r="AJ755" i="1"/>
  <c r="AH755" i="1"/>
  <c r="AE755" i="1"/>
  <c r="AD755" i="1"/>
  <c r="AC755" i="1"/>
  <c r="AB755" i="1"/>
  <c r="Z755" i="1"/>
  <c r="J755" i="1"/>
  <c r="AL755" i="1" s="1"/>
  <c r="H755" i="1"/>
  <c r="BJ754" i="1"/>
  <c r="BF754" i="1"/>
  <c r="BD754" i="1"/>
  <c r="AW754" i="1"/>
  <c r="AP754" i="1"/>
  <c r="AX754" i="1" s="1"/>
  <c r="AO754" i="1"/>
  <c r="BH754" i="1" s="1"/>
  <c r="AF754" i="1" s="1"/>
  <c r="AK754" i="1"/>
  <c r="AJ754" i="1"/>
  <c r="AH754" i="1"/>
  <c r="AE754" i="1"/>
  <c r="AD754" i="1"/>
  <c r="AC754" i="1"/>
  <c r="AB754" i="1"/>
  <c r="Z754" i="1"/>
  <c r="J754" i="1"/>
  <c r="AL754" i="1" s="1"/>
  <c r="I754" i="1"/>
  <c r="H754" i="1"/>
  <c r="BJ753" i="1"/>
  <c r="BF753" i="1"/>
  <c r="BD753" i="1"/>
  <c r="AW753" i="1"/>
  <c r="AP753" i="1"/>
  <c r="AO753" i="1"/>
  <c r="H753" i="1" s="1"/>
  <c r="AK753" i="1"/>
  <c r="AJ753" i="1"/>
  <c r="AH753" i="1"/>
  <c r="AE753" i="1"/>
  <c r="AD753" i="1"/>
  <c r="AC753" i="1"/>
  <c r="AB753" i="1"/>
  <c r="Z753" i="1"/>
  <c r="J753" i="1"/>
  <c r="BJ752" i="1"/>
  <c r="BI752" i="1"/>
  <c r="AG752" i="1" s="1"/>
  <c r="BF752" i="1"/>
  <c r="BD752" i="1"/>
  <c r="AX752" i="1"/>
  <c r="AP752" i="1"/>
  <c r="I752" i="1" s="1"/>
  <c r="AO752" i="1"/>
  <c r="BH752" i="1" s="1"/>
  <c r="AF752" i="1" s="1"/>
  <c r="AK752" i="1"/>
  <c r="AJ752" i="1"/>
  <c r="AH752" i="1"/>
  <c r="AE752" i="1"/>
  <c r="AD752" i="1"/>
  <c r="AC752" i="1"/>
  <c r="AB752" i="1"/>
  <c r="Z752" i="1"/>
  <c r="J752" i="1"/>
  <c r="AL752" i="1" s="1"/>
  <c r="BJ751" i="1"/>
  <c r="BF751" i="1"/>
  <c r="BD751" i="1"/>
  <c r="AP751" i="1"/>
  <c r="BI751" i="1" s="1"/>
  <c r="AG751" i="1" s="1"/>
  <c r="AO751" i="1"/>
  <c r="AW751" i="1" s="1"/>
  <c r="AK751" i="1"/>
  <c r="AJ751" i="1"/>
  <c r="AH751" i="1"/>
  <c r="AE751" i="1"/>
  <c r="AD751" i="1"/>
  <c r="AC751" i="1"/>
  <c r="AB751" i="1"/>
  <c r="Z751" i="1"/>
  <c r="J751" i="1"/>
  <c r="AL751" i="1" s="1"/>
  <c r="H751" i="1"/>
  <c r="BJ750" i="1"/>
  <c r="BF750" i="1"/>
  <c r="BD750" i="1"/>
  <c r="AW750" i="1"/>
  <c r="AP750" i="1"/>
  <c r="AX750" i="1" s="1"/>
  <c r="AO750" i="1"/>
  <c r="BH750" i="1" s="1"/>
  <c r="AK750" i="1"/>
  <c r="AJ750" i="1"/>
  <c r="AH750" i="1"/>
  <c r="AF750" i="1"/>
  <c r="AE750" i="1"/>
  <c r="AD750" i="1"/>
  <c r="AC750" i="1"/>
  <c r="AB750" i="1"/>
  <c r="Z750" i="1"/>
  <c r="J750" i="1"/>
  <c r="AL750" i="1" s="1"/>
  <c r="H750" i="1"/>
  <c r="BJ749" i="1"/>
  <c r="BF749" i="1"/>
  <c r="BD749" i="1"/>
  <c r="AX749" i="1"/>
  <c r="AP749" i="1"/>
  <c r="BI749" i="1" s="1"/>
  <c r="AO749" i="1"/>
  <c r="H749" i="1" s="1"/>
  <c r="AK749" i="1"/>
  <c r="AJ749" i="1"/>
  <c r="AH749" i="1"/>
  <c r="AG749" i="1"/>
  <c r="AE749" i="1"/>
  <c r="AD749" i="1"/>
  <c r="AC749" i="1"/>
  <c r="AB749" i="1"/>
  <c r="Z749" i="1"/>
  <c r="J749" i="1"/>
  <c r="AL749" i="1" s="1"/>
  <c r="I749" i="1"/>
  <c r="BJ748" i="1"/>
  <c r="BF748" i="1"/>
  <c r="BD748" i="1"/>
  <c r="AP748" i="1"/>
  <c r="I748" i="1" s="1"/>
  <c r="AO748" i="1"/>
  <c r="AK748" i="1"/>
  <c r="AJ748" i="1"/>
  <c r="AH748" i="1"/>
  <c r="AE748" i="1"/>
  <c r="AD748" i="1"/>
  <c r="AC748" i="1"/>
  <c r="AB748" i="1"/>
  <c r="Z748" i="1"/>
  <c r="J748" i="1"/>
  <c r="AL748" i="1" s="1"/>
  <c r="BJ747" i="1"/>
  <c r="BF747" i="1"/>
  <c r="BD747" i="1"/>
  <c r="AP747" i="1"/>
  <c r="AO747" i="1"/>
  <c r="AW747" i="1" s="1"/>
  <c r="AK747" i="1"/>
  <c r="AJ747" i="1"/>
  <c r="AH747" i="1"/>
  <c r="AE747" i="1"/>
  <c r="AD747" i="1"/>
  <c r="AC747" i="1"/>
  <c r="AB747" i="1"/>
  <c r="Z747" i="1"/>
  <c r="J747" i="1"/>
  <c r="AL747" i="1" s="1"/>
  <c r="H747" i="1"/>
  <c r="BJ745" i="1"/>
  <c r="BF745" i="1"/>
  <c r="BD745" i="1"/>
  <c r="AP745" i="1"/>
  <c r="I745" i="1" s="1"/>
  <c r="AO745" i="1"/>
  <c r="AK745" i="1"/>
  <c r="AJ745" i="1"/>
  <c r="AH745" i="1"/>
  <c r="AE745" i="1"/>
  <c r="AD745" i="1"/>
  <c r="AC745" i="1"/>
  <c r="AB745" i="1"/>
  <c r="Z745" i="1"/>
  <c r="J745" i="1"/>
  <c r="AL745" i="1" s="1"/>
  <c r="BJ744" i="1"/>
  <c r="BF744" i="1"/>
  <c r="BD744" i="1"/>
  <c r="AP744" i="1"/>
  <c r="AO744" i="1"/>
  <c r="AW744" i="1" s="1"/>
  <c r="AK744" i="1"/>
  <c r="AJ744" i="1"/>
  <c r="AH744" i="1"/>
  <c r="AE744" i="1"/>
  <c r="AD744" i="1"/>
  <c r="AC744" i="1"/>
  <c r="AB744" i="1"/>
  <c r="Z744" i="1"/>
  <c r="J744" i="1"/>
  <c r="AL744" i="1" s="1"/>
  <c r="BJ743" i="1"/>
  <c r="BF743" i="1"/>
  <c r="BD743" i="1"/>
  <c r="AW743" i="1"/>
  <c r="AP743" i="1"/>
  <c r="AX743" i="1" s="1"/>
  <c r="AO743" i="1"/>
  <c r="BH743" i="1" s="1"/>
  <c r="AF743" i="1" s="1"/>
  <c r="AK743" i="1"/>
  <c r="AJ743" i="1"/>
  <c r="AH743" i="1"/>
  <c r="AE743" i="1"/>
  <c r="AD743" i="1"/>
  <c r="AC743" i="1"/>
  <c r="AB743" i="1"/>
  <c r="Z743" i="1"/>
  <c r="J743" i="1"/>
  <c r="AL743" i="1" s="1"/>
  <c r="H743" i="1"/>
  <c r="BJ742" i="1"/>
  <c r="BF742" i="1"/>
  <c r="BD742" i="1"/>
  <c r="AX742" i="1"/>
  <c r="AP742" i="1"/>
  <c r="BI742" i="1" s="1"/>
  <c r="AG742" i="1" s="1"/>
  <c r="AO742" i="1"/>
  <c r="AK742" i="1"/>
  <c r="AJ742" i="1"/>
  <c r="AH742" i="1"/>
  <c r="AE742" i="1"/>
  <c r="AD742" i="1"/>
  <c r="AC742" i="1"/>
  <c r="AB742" i="1"/>
  <c r="Z742" i="1"/>
  <c r="J742" i="1"/>
  <c r="AL742" i="1" s="1"/>
  <c r="I742" i="1"/>
  <c r="BJ741" i="1"/>
  <c r="BI741" i="1"/>
  <c r="AG741" i="1" s="1"/>
  <c r="BF741" i="1"/>
  <c r="BD741" i="1"/>
  <c r="AX741" i="1"/>
  <c r="AP741" i="1"/>
  <c r="I741" i="1" s="1"/>
  <c r="AO741" i="1"/>
  <c r="BH741" i="1" s="1"/>
  <c r="AF741" i="1" s="1"/>
  <c r="AK741" i="1"/>
  <c r="AJ741" i="1"/>
  <c r="AH741" i="1"/>
  <c r="AE741" i="1"/>
  <c r="AD741" i="1"/>
  <c r="AC741" i="1"/>
  <c r="AB741" i="1"/>
  <c r="Z741" i="1"/>
  <c r="J741" i="1"/>
  <c r="AL741" i="1" s="1"/>
  <c r="BJ740" i="1"/>
  <c r="BF740" i="1"/>
  <c r="BD740" i="1"/>
  <c r="AP740" i="1"/>
  <c r="BI740" i="1" s="1"/>
  <c r="AG740" i="1" s="1"/>
  <c r="AO740" i="1"/>
  <c r="AW740" i="1" s="1"/>
  <c r="AK740" i="1"/>
  <c r="AJ740" i="1"/>
  <c r="AH740" i="1"/>
  <c r="AE740" i="1"/>
  <c r="AD740" i="1"/>
  <c r="AC740" i="1"/>
  <c r="AB740" i="1"/>
  <c r="Z740" i="1"/>
  <c r="J740" i="1"/>
  <c r="AL740" i="1" s="1"/>
  <c r="H740" i="1"/>
  <c r="BJ739" i="1"/>
  <c r="BF739" i="1"/>
  <c r="BD739" i="1"/>
  <c r="AW739" i="1"/>
  <c r="AP739" i="1"/>
  <c r="AO739" i="1"/>
  <c r="BH739" i="1" s="1"/>
  <c r="AL739" i="1"/>
  <c r="AK739" i="1"/>
  <c r="AJ739" i="1"/>
  <c r="AH739" i="1"/>
  <c r="AF739" i="1"/>
  <c r="AE739" i="1"/>
  <c r="AD739" i="1"/>
  <c r="AC739" i="1"/>
  <c r="AB739" i="1"/>
  <c r="Z739" i="1"/>
  <c r="J739" i="1"/>
  <c r="H739" i="1"/>
  <c r="BJ738" i="1"/>
  <c r="BF738" i="1"/>
  <c r="BD738" i="1"/>
  <c r="AX738" i="1"/>
  <c r="AP738" i="1"/>
  <c r="BI738" i="1" s="1"/>
  <c r="AG738" i="1" s="1"/>
  <c r="AO738" i="1"/>
  <c r="H738" i="1" s="1"/>
  <c r="AK738" i="1"/>
  <c r="AJ738" i="1"/>
  <c r="AH738" i="1"/>
  <c r="AE738" i="1"/>
  <c r="AD738" i="1"/>
  <c r="AC738" i="1"/>
  <c r="AB738" i="1"/>
  <c r="Z738" i="1"/>
  <c r="J738" i="1"/>
  <c r="AL738" i="1" s="1"/>
  <c r="I738" i="1"/>
  <c r="BJ737" i="1"/>
  <c r="BF737" i="1"/>
  <c r="BD737" i="1"/>
  <c r="AP737" i="1"/>
  <c r="I737" i="1" s="1"/>
  <c r="AO737" i="1"/>
  <c r="AK737" i="1"/>
  <c r="AJ737" i="1"/>
  <c r="AH737" i="1"/>
  <c r="AE737" i="1"/>
  <c r="AD737" i="1"/>
  <c r="AC737" i="1"/>
  <c r="AB737" i="1"/>
  <c r="Z737" i="1"/>
  <c r="J737" i="1"/>
  <c r="AL737" i="1" s="1"/>
  <c r="BJ736" i="1"/>
  <c r="BF736" i="1"/>
  <c r="BD736" i="1"/>
  <c r="AP736" i="1"/>
  <c r="AO736" i="1"/>
  <c r="AK736" i="1"/>
  <c r="AJ736" i="1"/>
  <c r="AH736" i="1"/>
  <c r="AE736" i="1"/>
  <c r="AD736" i="1"/>
  <c r="AC736" i="1"/>
  <c r="AB736" i="1"/>
  <c r="Z736" i="1"/>
  <c r="J736" i="1"/>
  <c r="AL736" i="1" s="1"/>
  <c r="BJ735" i="1"/>
  <c r="BF735" i="1"/>
  <c r="BD735" i="1"/>
  <c r="AP735" i="1"/>
  <c r="AO735" i="1"/>
  <c r="AK735" i="1"/>
  <c r="AJ735" i="1"/>
  <c r="AH735" i="1"/>
  <c r="AE735" i="1"/>
  <c r="AD735" i="1"/>
  <c r="AC735" i="1"/>
  <c r="AB735" i="1"/>
  <c r="Z735" i="1"/>
  <c r="J735" i="1"/>
  <c r="AL735" i="1" s="1"/>
  <c r="BJ734" i="1"/>
  <c r="BF734" i="1"/>
  <c r="BD734" i="1"/>
  <c r="AP734" i="1"/>
  <c r="BI734" i="1" s="1"/>
  <c r="AG734" i="1" s="1"/>
  <c r="AO734" i="1"/>
  <c r="BH734" i="1" s="1"/>
  <c r="AF734" i="1" s="1"/>
  <c r="AK734" i="1"/>
  <c r="AJ734" i="1"/>
  <c r="AH734" i="1"/>
  <c r="AE734" i="1"/>
  <c r="AD734" i="1"/>
  <c r="AC734" i="1"/>
  <c r="AB734" i="1"/>
  <c r="Z734" i="1"/>
  <c r="J734" i="1"/>
  <c r="AL734" i="1" s="1"/>
  <c r="H734" i="1"/>
  <c r="BJ733" i="1"/>
  <c r="BF733" i="1"/>
  <c r="BD733" i="1"/>
  <c r="AP733" i="1"/>
  <c r="BI733" i="1" s="1"/>
  <c r="AG733" i="1" s="1"/>
  <c r="AO733" i="1"/>
  <c r="BH733" i="1" s="1"/>
  <c r="AF733" i="1" s="1"/>
  <c r="AL733" i="1"/>
  <c r="AK733" i="1"/>
  <c r="AJ733" i="1"/>
  <c r="AH733" i="1"/>
  <c r="AE733" i="1"/>
  <c r="AD733" i="1"/>
  <c r="AC733" i="1"/>
  <c r="AB733" i="1"/>
  <c r="Z733" i="1"/>
  <c r="J733" i="1"/>
  <c r="I733" i="1"/>
  <c r="H733" i="1"/>
  <c r="BJ732" i="1"/>
  <c r="BF732" i="1"/>
  <c r="BD732" i="1"/>
  <c r="AW732" i="1"/>
  <c r="AP732" i="1"/>
  <c r="BI732" i="1" s="1"/>
  <c r="AG732" i="1" s="1"/>
  <c r="AO732" i="1"/>
  <c r="H732" i="1" s="1"/>
  <c r="AK732" i="1"/>
  <c r="AJ732" i="1"/>
  <c r="AH732" i="1"/>
  <c r="AE732" i="1"/>
  <c r="AD732" i="1"/>
  <c r="AC732" i="1"/>
  <c r="AB732" i="1"/>
  <c r="Z732" i="1"/>
  <c r="J732" i="1"/>
  <c r="AL732" i="1" s="1"/>
  <c r="I732" i="1"/>
  <c r="BJ731" i="1"/>
  <c r="BF731" i="1"/>
  <c r="BD731" i="1"/>
  <c r="AP731" i="1"/>
  <c r="AO731" i="1"/>
  <c r="AK731" i="1"/>
  <c r="AJ731" i="1"/>
  <c r="AH731" i="1"/>
  <c r="AE731" i="1"/>
  <c r="AD731" i="1"/>
  <c r="AC731" i="1"/>
  <c r="AB731" i="1"/>
  <c r="Z731" i="1"/>
  <c r="J731" i="1"/>
  <c r="AL731" i="1" s="1"/>
  <c r="BJ730" i="1"/>
  <c r="BF730" i="1"/>
  <c r="BD730" i="1"/>
  <c r="AP730" i="1"/>
  <c r="AO730" i="1"/>
  <c r="AK730" i="1"/>
  <c r="AJ730" i="1"/>
  <c r="AH730" i="1"/>
  <c r="AE730" i="1"/>
  <c r="AD730" i="1"/>
  <c r="AC730" i="1"/>
  <c r="AB730" i="1"/>
  <c r="Z730" i="1"/>
  <c r="J730" i="1"/>
  <c r="AL730" i="1" s="1"/>
  <c r="BJ729" i="1"/>
  <c r="BF729" i="1"/>
  <c r="BD729" i="1"/>
  <c r="AP729" i="1"/>
  <c r="BI729" i="1" s="1"/>
  <c r="AG729" i="1" s="1"/>
  <c r="AO729" i="1"/>
  <c r="BH729" i="1" s="1"/>
  <c r="AF729" i="1" s="1"/>
  <c r="AL729" i="1"/>
  <c r="AK729" i="1"/>
  <c r="AJ729" i="1"/>
  <c r="AH729" i="1"/>
  <c r="AE729" i="1"/>
  <c r="AD729" i="1"/>
  <c r="AC729" i="1"/>
  <c r="AB729" i="1"/>
  <c r="Z729" i="1"/>
  <c r="J729" i="1"/>
  <c r="I729" i="1"/>
  <c r="H729" i="1"/>
  <c r="BJ728" i="1"/>
  <c r="BF728" i="1"/>
  <c r="BD728" i="1"/>
  <c r="AP728" i="1"/>
  <c r="BI728" i="1" s="1"/>
  <c r="AG728" i="1" s="1"/>
  <c r="AO728" i="1"/>
  <c r="AL728" i="1"/>
  <c r="AK728" i="1"/>
  <c r="AJ728" i="1"/>
  <c r="AH728" i="1"/>
  <c r="AE728" i="1"/>
  <c r="AD728" i="1"/>
  <c r="AC728" i="1"/>
  <c r="AB728" i="1"/>
  <c r="Z728" i="1"/>
  <c r="J728" i="1"/>
  <c r="I728" i="1"/>
  <c r="BJ727" i="1"/>
  <c r="BF727" i="1"/>
  <c r="BD727" i="1"/>
  <c r="AP727" i="1"/>
  <c r="I727" i="1" s="1"/>
  <c r="AO727" i="1"/>
  <c r="AK727" i="1"/>
  <c r="AJ727" i="1"/>
  <c r="AH727" i="1"/>
  <c r="AE727" i="1"/>
  <c r="AD727" i="1"/>
  <c r="AC727" i="1"/>
  <c r="AB727" i="1"/>
  <c r="Z727" i="1"/>
  <c r="J727" i="1"/>
  <c r="AL727" i="1" s="1"/>
  <c r="BJ726" i="1"/>
  <c r="BI726" i="1"/>
  <c r="AG726" i="1" s="1"/>
  <c r="BF726" i="1"/>
  <c r="BD726" i="1"/>
  <c r="AP726" i="1"/>
  <c r="AO726" i="1"/>
  <c r="BH726" i="1" s="1"/>
  <c r="AF726" i="1" s="1"/>
  <c r="AK726" i="1"/>
  <c r="AJ726" i="1"/>
  <c r="AH726" i="1"/>
  <c r="AE726" i="1"/>
  <c r="AD726" i="1"/>
  <c r="AC726" i="1"/>
  <c r="AB726" i="1"/>
  <c r="Z726" i="1"/>
  <c r="J726" i="1"/>
  <c r="AL726" i="1" s="1"/>
  <c r="BJ725" i="1"/>
  <c r="BF725" i="1"/>
  <c r="BD725" i="1"/>
  <c r="AW725" i="1"/>
  <c r="AP725" i="1"/>
  <c r="BI725" i="1" s="1"/>
  <c r="AG725" i="1" s="1"/>
  <c r="AO725" i="1"/>
  <c r="BH725" i="1" s="1"/>
  <c r="AF725" i="1" s="1"/>
  <c r="AL725" i="1"/>
  <c r="AK725" i="1"/>
  <c r="AJ725" i="1"/>
  <c r="AH725" i="1"/>
  <c r="AE725" i="1"/>
  <c r="AD725" i="1"/>
  <c r="AC725" i="1"/>
  <c r="AB725" i="1"/>
  <c r="Z725" i="1"/>
  <c r="J725" i="1"/>
  <c r="I725" i="1"/>
  <c r="H725" i="1"/>
  <c r="BJ724" i="1"/>
  <c r="BF724" i="1"/>
  <c r="BD724" i="1"/>
  <c r="AX724" i="1"/>
  <c r="AW724" i="1"/>
  <c r="AP724" i="1"/>
  <c r="BI724" i="1" s="1"/>
  <c r="AG724" i="1" s="1"/>
  <c r="AO724" i="1"/>
  <c r="H724" i="1" s="1"/>
  <c r="AL724" i="1"/>
  <c r="AK724" i="1"/>
  <c r="AJ724" i="1"/>
  <c r="AH724" i="1"/>
  <c r="AE724" i="1"/>
  <c r="AD724" i="1"/>
  <c r="AC724" i="1"/>
  <c r="AB724" i="1"/>
  <c r="Z724" i="1"/>
  <c r="J724" i="1"/>
  <c r="I724" i="1"/>
  <c r="BJ723" i="1"/>
  <c r="BF723" i="1"/>
  <c r="BD723" i="1"/>
  <c r="AX723" i="1"/>
  <c r="AP723" i="1"/>
  <c r="I723" i="1" s="1"/>
  <c r="AO723" i="1"/>
  <c r="AK723" i="1"/>
  <c r="AJ723" i="1"/>
  <c r="AH723" i="1"/>
  <c r="AE723" i="1"/>
  <c r="AD723" i="1"/>
  <c r="AC723" i="1"/>
  <c r="AB723" i="1"/>
  <c r="Z723" i="1"/>
  <c r="J723" i="1"/>
  <c r="AL723" i="1" s="1"/>
  <c r="BJ722" i="1"/>
  <c r="BF722" i="1"/>
  <c r="BD722" i="1"/>
  <c r="AW722" i="1"/>
  <c r="AP722" i="1"/>
  <c r="AO722" i="1"/>
  <c r="BH722" i="1" s="1"/>
  <c r="AF722" i="1" s="1"/>
  <c r="AK722" i="1"/>
  <c r="AJ722" i="1"/>
  <c r="AH722" i="1"/>
  <c r="AE722" i="1"/>
  <c r="AD722" i="1"/>
  <c r="AC722" i="1"/>
  <c r="AB722" i="1"/>
  <c r="Z722" i="1"/>
  <c r="J722" i="1"/>
  <c r="AL722" i="1" s="1"/>
  <c r="H722" i="1"/>
  <c r="BJ721" i="1"/>
  <c r="BF721" i="1"/>
  <c r="BD721" i="1"/>
  <c r="AW721" i="1"/>
  <c r="AP721" i="1"/>
  <c r="BI721" i="1" s="1"/>
  <c r="AG721" i="1" s="1"/>
  <c r="AO721" i="1"/>
  <c r="BH721" i="1" s="1"/>
  <c r="AL721" i="1"/>
  <c r="AK721" i="1"/>
  <c r="AJ721" i="1"/>
  <c r="AH721" i="1"/>
  <c r="AF721" i="1"/>
  <c r="AE721" i="1"/>
  <c r="AD721" i="1"/>
  <c r="AC721" i="1"/>
  <c r="AB721" i="1"/>
  <c r="Z721" i="1"/>
  <c r="J721" i="1"/>
  <c r="H721" i="1"/>
  <c r="BJ720" i="1"/>
  <c r="BF720" i="1"/>
  <c r="BD720" i="1"/>
  <c r="AX720" i="1"/>
  <c r="AP720" i="1"/>
  <c r="BI720" i="1" s="1"/>
  <c r="AO720" i="1"/>
  <c r="H720" i="1" s="1"/>
  <c r="AK720" i="1"/>
  <c r="AJ720" i="1"/>
  <c r="AH720" i="1"/>
  <c r="AG720" i="1"/>
  <c r="AE720" i="1"/>
  <c r="AD720" i="1"/>
  <c r="AC720" i="1"/>
  <c r="AB720" i="1"/>
  <c r="Z720" i="1"/>
  <c r="J720" i="1"/>
  <c r="AL720" i="1" s="1"/>
  <c r="BJ719" i="1"/>
  <c r="BF719" i="1"/>
  <c r="BD719" i="1"/>
  <c r="AX719" i="1"/>
  <c r="AP719" i="1"/>
  <c r="I719" i="1" s="1"/>
  <c r="AO719" i="1"/>
  <c r="BH719" i="1" s="1"/>
  <c r="AF719" i="1" s="1"/>
  <c r="AK719" i="1"/>
  <c r="AJ719" i="1"/>
  <c r="AH719" i="1"/>
  <c r="AE719" i="1"/>
  <c r="AD719" i="1"/>
  <c r="AC719" i="1"/>
  <c r="AB719" i="1"/>
  <c r="Z719" i="1"/>
  <c r="J719" i="1"/>
  <c r="AL719" i="1" s="1"/>
  <c r="BJ718" i="1"/>
  <c r="BF718" i="1"/>
  <c r="BD718" i="1"/>
  <c r="AP718" i="1"/>
  <c r="AO718" i="1"/>
  <c r="BH718" i="1" s="1"/>
  <c r="AF718" i="1" s="1"/>
  <c r="AK718" i="1"/>
  <c r="AJ718" i="1"/>
  <c r="AH718" i="1"/>
  <c r="AE718" i="1"/>
  <c r="AD718" i="1"/>
  <c r="AC718" i="1"/>
  <c r="AB718" i="1"/>
  <c r="Z718" i="1"/>
  <c r="J718" i="1"/>
  <c r="AL718" i="1" s="1"/>
  <c r="H718" i="1"/>
  <c r="BJ717" i="1"/>
  <c r="BF717" i="1"/>
  <c r="BD717" i="1"/>
  <c r="AW717" i="1"/>
  <c r="AP717" i="1"/>
  <c r="BI717" i="1" s="1"/>
  <c r="AG717" i="1" s="1"/>
  <c r="AO717" i="1"/>
  <c r="BH717" i="1" s="1"/>
  <c r="AF717" i="1" s="1"/>
  <c r="AK717" i="1"/>
  <c r="AJ717" i="1"/>
  <c r="AH717" i="1"/>
  <c r="AE717" i="1"/>
  <c r="AD717" i="1"/>
  <c r="AC717" i="1"/>
  <c r="AB717" i="1"/>
  <c r="Z717" i="1"/>
  <c r="J717" i="1"/>
  <c r="AL717" i="1" s="1"/>
  <c r="I717" i="1"/>
  <c r="H717" i="1"/>
  <c r="BJ716" i="1"/>
  <c r="BF716" i="1"/>
  <c r="BD716" i="1"/>
  <c r="AX716" i="1"/>
  <c r="AP716" i="1"/>
  <c r="BI716" i="1" s="1"/>
  <c r="AG716" i="1" s="1"/>
  <c r="AO716" i="1"/>
  <c r="AK716" i="1"/>
  <c r="AJ716" i="1"/>
  <c r="AH716" i="1"/>
  <c r="AE716" i="1"/>
  <c r="AD716" i="1"/>
  <c r="AC716" i="1"/>
  <c r="AB716" i="1"/>
  <c r="Z716" i="1"/>
  <c r="J716" i="1"/>
  <c r="AL716" i="1" s="1"/>
  <c r="I716" i="1"/>
  <c r="BJ715" i="1"/>
  <c r="BF715" i="1"/>
  <c r="BD715" i="1"/>
  <c r="AX715" i="1"/>
  <c r="AP715" i="1"/>
  <c r="I715" i="1" s="1"/>
  <c r="AO715" i="1"/>
  <c r="BH715" i="1" s="1"/>
  <c r="AF715" i="1" s="1"/>
  <c r="AK715" i="1"/>
  <c r="AJ715" i="1"/>
  <c r="AH715" i="1"/>
  <c r="AE715" i="1"/>
  <c r="AD715" i="1"/>
  <c r="AC715" i="1"/>
  <c r="AB715" i="1"/>
  <c r="Z715" i="1"/>
  <c r="J715" i="1"/>
  <c r="AL715" i="1" s="1"/>
  <c r="BJ714" i="1"/>
  <c r="BI714" i="1"/>
  <c r="AG714" i="1" s="1"/>
  <c r="BF714" i="1"/>
  <c r="BD714" i="1"/>
  <c r="AW714" i="1"/>
  <c r="AP714" i="1"/>
  <c r="AO714" i="1"/>
  <c r="BH714" i="1" s="1"/>
  <c r="AF714" i="1" s="1"/>
  <c r="AK714" i="1"/>
  <c r="AJ714" i="1"/>
  <c r="AH714" i="1"/>
  <c r="AE714" i="1"/>
  <c r="AD714" i="1"/>
  <c r="AC714" i="1"/>
  <c r="AB714" i="1"/>
  <c r="Z714" i="1"/>
  <c r="J714" i="1"/>
  <c r="AL714" i="1" s="1"/>
  <c r="H714" i="1"/>
  <c r="BJ713" i="1"/>
  <c r="BF713" i="1"/>
  <c r="BD713" i="1"/>
  <c r="AW713" i="1"/>
  <c r="AP713" i="1"/>
  <c r="BI713" i="1" s="1"/>
  <c r="AG713" i="1" s="1"/>
  <c r="AO713" i="1"/>
  <c r="BH713" i="1" s="1"/>
  <c r="AF713" i="1" s="1"/>
  <c r="AK713" i="1"/>
  <c r="AJ713" i="1"/>
  <c r="AH713" i="1"/>
  <c r="AE713" i="1"/>
  <c r="AD713" i="1"/>
  <c r="AC713" i="1"/>
  <c r="AB713" i="1"/>
  <c r="Z713" i="1"/>
  <c r="J713" i="1"/>
  <c r="AL713" i="1" s="1"/>
  <c r="I713" i="1"/>
  <c r="H713" i="1"/>
  <c r="BJ712" i="1"/>
  <c r="BF712" i="1"/>
  <c r="BD712" i="1"/>
  <c r="AW712" i="1"/>
  <c r="AP712" i="1"/>
  <c r="AO712" i="1"/>
  <c r="H712" i="1" s="1"/>
  <c r="AL712" i="1"/>
  <c r="AK712" i="1"/>
  <c r="AJ712" i="1"/>
  <c r="AH712" i="1"/>
  <c r="AE712" i="1"/>
  <c r="AD712" i="1"/>
  <c r="AC712" i="1"/>
  <c r="AB712" i="1"/>
  <c r="Z712" i="1"/>
  <c r="J712" i="1"/>
  <c r="I712" i="1"/>
  <c r="BJ711" i="1"/>
  <c r="BF711" i="1"/>
  <c r="BD711" i="1"/>
  <c r="AX711" i="1"/>
  <c r="AP711" i="1"/>
  <c r="I711" i="1" s="1"/>
  <c r="AO711" i="1"/>
  <c r="AK711" i="1"/>
  <c r="AJ711" i="1"/>
  <c r="AH711" i="1"/>
  <c r="AE711" i="1"/>
  <c r="AD711" i="1"/>
  <c r="AC711" i="1"/>
  <c r="AB711" i="1"/>
  <c r="Z711" i="1"/>
  <c r="J711" i="1"/>
  <c r="AL711" i="1" s="1"/>
  <c r="BJ710" i="1"/>
  <c r="BF710" i="1"/>
  <c r="BD710" i="1"/>
  <c r="AW710" i="1"/>
  <c r="AP710" i="1"/>
  <c r="AO710" i="1"/>
  <c r="BH710" i="1" s="1"/>
  <c r="AF710" i="1" s="1"/>
  <c r="AK710" i="1"/>
  <c r="AJ710" i="1"/>
  <c r="AH710" i="1"/>
  <c r="AE710" i="1"/>
  <c r="AD710" i="1"/>
  <c r="AC710" i="1"/>
  <c r="AB710" i="1"/>
  <c r="Z710" i="1"/>
  <c r="J710" i="1"/>
  <c r="AL710" i="1" s="1"/>
  <c r="H710" i="1"/>
  <c r="BJ709" i="1"/>
  <c r="BF709" i="1"/>
  <c r="BD709" i="1"/>
  <c r="AW709" i="1"/>
  <c r="AP709" i="1"/>
  <c r="BI709" i="1" s="1"/>
  <c r="AG709" i="1" s="1"/>
  <c r="AO709" i="1"/>
  <c r="BH709" i="1" s="1"/>
  <c r="AF709" i="1" s="1"/>
  <c r="AL709" i="1"/>
  <c r="AK709" i="1"/>
  <c r="AJ709" i="1"/>
  <c r="AH709" i="1"/>
  <c r="AE709" i="1"/>
  <c r="AD709" i="1"/>
  <c r="AC709" i="1"/>
  <c r="AB709" i="1"/>
  <c r="Z709" i="1"/>
  <c r="J709" i="1"/>
  <c r="I709" i="1"/>
  <c r="H709" i="1"/>
  <c r="BJ708" i="1"/>
  <c r="BF708" i="1"/>
  <c r="BD708" i="1"/>
  <c r="AW708" i="1"/>
  <c r="AP708" i="1"/>
  <c r="BI708" i="1" s="1"/>
  <c r="AG708" i="1" s="1"/>
  <c r="AO708" i="1"/>
  <c r="H708" i="1" s="1"/>
  <c r="AK708" i="1"/>
  <c r="AJ708" i="1"/>
  <c r="AH708" i="1"/>
  <c r="AE708" i="1"/>
  <c r="AD708" i="1"/>
  <c r="AC708" i="1"/>
  <c r="AB708" i="1"/>
  <c r="Z708" i="1"/>
  <c r="J708" i="1"/>
  <c r="AL708" i="1" s="1"/>
  <c r="I708" i="1"/>
  <c r="BJ706" i="1"/>
  <c r="BF706" i="1"/>
  <c r="BD706" i="1"/>
  <c r="AP706" i="1"/>
  <c r="BI706" i="1" s="1"/>
  <c r="AG706" i="1" s="1"/>
  <c r="AO706" i="1"/>
  <c r="BH706" i="1" s="1"/>
  <c r="AF706" i="1" s="1"/>
  <c r="AL706" i="1"/>
  <c r="AK706" i="1"/>
  <c r="AJ706" i="1"/>
  <c r="AH706" i="1"/>
  <c r="AE706" i="1"/>
  <c r="AD706" i="1"/>
  <c r="AC706" i="1"/>
  <c r="AB706" i="1"/>
  <c r="Z706" i="1"/>
  <c r="J706" i="1"/>
  <c r="I706" i="1"/>
  <c r="H706" i="1"/>
  <c r="BJ705" i="1"/>
  <c r="BF705" i="1"/>
  <c r="BD705" i="1"/>
  <c r="AW705" i="1"/>
  <c r="AP705" i="1"/>
  <c r="BI705" i="1" s="1"/>
  <c r="AG705" i="1" s="1"/>
  <c r="AO705" i="1"/>
  <c r="BH705" i="1" s="1"/>
  <c r="AF705" i="1" s="1"/>
  <c r="AK705" i="1"/>
  <c r="AJ705" i="1"/>
  <c r="AH705" i="1"/>
  <c r="AE705" i="1"/>
  <c r="AD705" i="1"/>
  <c r="AC705" i="1"/>
  <c r="AB705" i="1"/>
  <c r="Z705" i="1"/>
  <c r="J705" i="1"/>
  <c r="AL705" i="1" s="1"/>
  <c r="I705" i="1"/>
  <c r="H705" i="1"/>
  <c r="BJ704" i="1"/>
  <c r="BF704" i="1"/>
  <c r="BD704" i="1"/>
  <c r="AW704" i="1"/>
  <c r="AP704" i="1"/>
  <c r="AO704" i="1"/>
  <c r="H704" i="1" s="1"/>
  <c r="AK704" i="1"/>
  <c r="AJ704" i="1"/>
  <c r="AH704" i="1"/>
  <c r="AE704" i="1"/>
  <c r="AD704" i="1"/>
  <c r="AC704" i="1"/>
  <c r="AB704" i="1"/>
  <c r="Z704" i="1"/>
  <c r="J704" i="1"/>
  <c r="AL704" i="1" s="1"/>
  <c r="BJ703" i="1"/>
  <c r="BF703" i="1"/>
  <c r="BD703" i="1"/>
  <c r="AP703" i="1"/>
  <c r="I703" i="1" s="1"/>
  <c r="AO703" i="1"/>
  <c r="AK703" i="1"/>
  <c r="AJ703" i="1"/>
  <c r="AH703" i="1"/>
  <c r="AE703" i="1"/>
  <c r="AD703" i="1"/>
  <c r="AC703" i="1"/>
  <c r="AB703" i="1"/>
  <c r="Z703" i="1"/>
  <c r="J703" i="1"/>
  <c r="AL703" i="1" s="1"/>
  <c r="BJ702" i="1"/>
  <c r="BF702" i="1"/>
  <c r="BD702" i="1"/>
  <c r="AP702" i="1"/>
  <c r="AO702" i="1"/>
  <c r="AL702" i="1"/>
  <c r="AK702" i="1"/>
  <c r="AJ702" i="1"/>
  <c r="AH702" i="1"/>
  <c r="AE702" i="1"/>
  <c r="AD702" i="1"/>
  <c r="AC702" i="1"/>
  <c r="AB702" i="1"/>
  <c r="Z702" i="1"/>
  <c r="J702" i="1"/>
  <c r="BJ701" i="1"/>
  <c r="BF701" i="1"/>
  <c r="BD701" i="1"/>
  <c r="AW701" i="1"/>
  <c r="AP701" i="1"/>
  <c r="BI701" i="1" s="1"/>
  <c r="AG701" i="1" s="1"/>
  <c r="AO701" i="1"/>
  <c r="BH701" i="1" s="1"/>
  <c r="AL701" i="1"/>
  <c r="AK701" i="1"/>
  <c r="AJ701" i="1"/>
  <c r="AH701" i="1"/>
  <c r="AF701" i="1"/>
  <c r="AE701" i="1"/>
  <c r="AD701" i="1"/>
  <c r="AC701" i="1"/>
  <c r="AB701" i="1"/>
  <c r="Z701" i="1"/>
  <c r="J701" i="1"/>
  <c r="H701" i="1"/>
  <c r="BJ700" i="1"/>
  <c r="BF700" i="1"/>
  <c r="BD700" i="1"/>
  <c r="AP700" i="1"/>
  <c r="I700" i="1" s="1"/>
  <c r="AO700" i="1"/>
  <c r="AK700" i="1"/>
  <c r="AJ700" i="1"/>
  <c r="AH700" i="1"/>
  <c r="AE700" i="1"/>
  <c r="AD700" i="1"/>
  <c r="AC700" i="1"/>
  <c r="AB700" i="1"/>
  <c r="Z700" i="1"/>
  <c r="J700" i="1"/>
  <c r="AL700" i="1" s="1"/>
  <c r="BJ699" i="1"/>
  <c r="BI699" i="1"/>
  <c r="AG699" i="1" s="1"/>
  <c r="BH699" i="1"/>
  <c r="AF699" i="1" s="1"/>
  <c r="BF699" i="1"/>
  <c r="BD699" i="1"/>
  <c r="AX699" i="1"/>
  <c r="AP699" i="1"/>
  <c r="I699" i="1" s="1"/>
  <c r="AO699" i="1"/>
  <c r="AW699" i="1" s="1"/>
  <c r="AV699" i="1" s="1"/>
  <c r="AK699" i="1"/>
  <c r="AJ699" i="1"/>
  <c r="AH699" i="1"/>
  <c r="AE699" i="1"/>
  <c r="AD699" i="1"/>
  <c r="AC699" i="1"/>
  <c r="AB699" i="1"/>
  <c r="Z699" i="1"/>
  <c r="J699" i="1"/>
  <c r="AL699" i="1" s="1"/>
  <c r="BJ698" i="1"/>
  <c r="BF698" i="1"/>
  <c r="BD698" i="1"/>
  <c r="AW698" i="1"/>
  <c r="AP698" i="1"/>
  <c r="AO698" i="1"/>
  <c r="AK698" i="1"/>
  <c r="AJ698" i="1"/>
  <c r="AH698" i="1"/>
  <c r="AE698" i="1"/>
  <c r="AD698" i="1"/>
  <c r="AC698" i="1"/>
  <c r="AB698" i="1"/>
  <c r="Z698" i="1"/>
  <c r="J698" i="1"/>
  <c r="AL698" i="1" s="1"/>
  <c r="BJ697" i="1"/>
  <c r="BH697" i="1"/>
  <c r="AF697" i="1" s="1"/>
  <c r="BF697" i="1"/>
  <c r="BD697" i="1"/>
  <c r="AW697" i="1"/>
  <c r="AP697" i="1"/>
  <c r="AO697" i="1"/>
  <c r="AK697" i="1"/>
  <c r="AJ697" i="1"/>
  <c r="AH697" i="1"/>
  <c r="AE697" i="1"/>
  <c r="AD697" i="1"/>
  <c r="AC697" i="1"/>
  <c r="AB697" i="1"/>
  <c r="Z697" i="1"/>
  <c r="J697" i="1"/>
  <c r="AL697" i="1" s="1"/>
  <c r="I697" i="1"/>
  <c r="H697" i="1"/>
  <c r="BJ696" i="1"/>
  <c r="BH696" i="1"/>
  <c r="AF696" i="1" s="1"/>
  <c r="BF696" i="1"/>
  <c r="BD696" i="1"/>
  <c r="AW696" i="1"/>
  <c r="AP696" i="1"/>
  <c r="AO696" i="1"/>
  <c r="H696" i="1" s="1"/>
  <c r="AK696" i="1"/>
  <c r="AJ696" i="1"/>
  <c r="AH696" i="1"/>
  <c r="AE696" i="1"/>
  <c r="AD696" i="1"/>
  <c r="AC696" i="1"/>
  <c r="AB696" i="1"/>
  <c r="Z696" i="1"/>
  <c r="J696" i="1"/>
  <c r="AL696" i="1" s="1"/>
  <c r="BJ695" i="1"/>
  <c r="BH695" i="1"/>
  <c r="AF695" i="1" s="1"/>
  <c r="BF695" i="1"/>
  <c r="BD695" i="1"/>
  <c r="AP695" i="1"/>
  <c r="AO695" i="1"/>
  <c r="AK695" i="1"/>
  <c r="AJ695" i="1"/>
  <c r="AH695" i="1"/>
  <c r="AE695" i="1"/>
  <c r="AD695" i="1"/>
  <c r="AC695" i="1"/>
  <c r="AB695" i="1"/>
  <c r="Z695" i="1"/>
  <c r="J695" i="1"/>
  <c r="AL695" i="1" s="1"/>
  <c r="BJ694" i="1"/>
  <c r="BF694" i="1"/>
  <c r="BD694" i="1"/>
  <c r="AW694" i="1"/>
  <c r="AP694" i="1"/>
  <c r="AO694" i="1"/>
  <c r="BH694" i="1" s="1"/>
  <c r="AF694" i="1" s="1"/>
  <c r="AK694" i="1"/>
  <c r="AJ694" i="1"/>
  <c r="AH694" i="1"/>
  <c r="AE694" i="1"/>
  <c r="AD694" i="1"/>
  <c r="AC694" i="1"/>
  <c r="AB694" i="1"/>
  <c r="Z694" i="1"/>
  <c r="J694" i="1"/>
  <c r="AL694" i="1" s="1"/>
  <c r="H694" i="1"/>
  <c r="BJ693" i="1"/>
  <c r="BF693" i="1"/>
  <c r="BD693" i="1"/>
  <c r="AW693" i="1"/>
  <c r="AP693" i="1"/>
  <c r="BI693" i="1" s="1"/>
  <c r="AG693" i="1" s="1"/>
  <c r="AO693" i="1"/>
  <c r="BH693" i="1" s="1"/>
  <c r="AF693" i="1" s="1"/>
  <c r="AL693" i="1"/>
  <c r="AK693" i="1"/>
  <c r="AJ693" i="1"/>
  <c r="AH693" i="1"/>
  <c r="AE693" i="1"/>
  <c r="AD693" i="1"/>
  <c r="AC693" i="1"/>
  <c r="AB693" i="1"/>
  <c r="Z693" i="1"/>
  <c r="J693" i="1"/>
  <c r="I693" i="1"/>
  <c r="H693" i="1"/>
  <c r="BJ692" i="1"/>
  <c r="BF692" i="1"/>
  <c r="BD692" i="1"/>
  <c r="AX692" i="1"/>
  <c r="AP692" i="1"/>
  <c r="BI692" i="1" s="1"/>
  <c r="AO692" i="1"/>
  <c r="H692" i="1" s="1"/>
  <c r="AK692" i="1"/>
  <c r="AJ692" i="1"/>
  <c r="AH692" i="1"/>
  <c r="AG692" i="1"/>
  <c r="AE692" i="1"/>
  <c r="AD692" i="1"/>
  <c r="AC692" i="1"/>
  <c r="AB692" i="1"/>
  <c r="Z692" i="1"/>
  <c r="J692" i="1"/>
  <c r="AL692" i="1" s="1"/>
  <c r="I692" i="1"/>
  <c r="BJ691" i="1"/>
  <c r="BF691" i="1"/>
  <c r="BD691" i="1"/>
  <c r="AP691" i="1"/>
  <c r="AO691" i="1"/>
  <c r="AK691" i="1"/>
  <c r="AJ691" i="1"/>
  <c r="AH691" i="1"/>
  <c r="AE691" i="1"/>
  <c r="AD691" i="1"/>
  <c r="AC691" i="1"/>
  <c r="AB691" i="1"/>
  <c r="Z691" i="1"/>
  <c r="J691" i="1"/>
  <c r="AL691" i="1" s="1"/>
  <c r="BJ690" i="1"/>
  <c r="BF690" i="1"/>
  <c r="BD690" i="1"/>
  <c r="AW690" i="1"/>
  <c r="AP690" i="1"/>
  <c r="AO690" i="1"/>
  <c r="BH690" i="1" s="1"/>
  <c r="AF690" i="1" s="1"/>
  <c r="AK690" i="1"/>
  <c r="AJ690" i="1"/>
  <c r="AH690" i="1"/>
  <c r="AE690" i="1"/>
  <c r="AD690" i="1"/>
  <c r="AC690" i="1"/>
  <c r="AB690" i="1"/>
  <c r="Z690" i="1"/>
  <c r="J690" i="1"/>
  <c r="AL690" i="1" s="1"/>
  <c r="H690" i="1"/>
  <c r="BJ689" i="1"/>
  <c r="BF689" i="1"/>
  <c r="BD689" i="1"/>
  <c r="AW689" i="1"/>
  <c r="AP689" i="1"/>
  <c r="BI689" i="1" s="1"/>
  <c r="AG689" i="1" s="1"/>
  <c r="AO689" i="1"/>
  <c r="BH689" i="1" s="1"/>
  <c r="AF689" i="1" s="1"/>
  <c r="AL689" i="1"/>
  <c r="AK689" i="1"/>
  <c r="AJ689" i="1"/>
  <c r="AH689" i="1"/>
  <c r="AE689" i="1"/>
  <c r="AD689" i="1"/>
  <c r="AC689" i="1"/>
  <c r="AB689" i="1"/>
  <c r="Z689" i="1"/>
  <c r="J689" i="1"/>
  <c r="I689" i="1"/>
  <c r="H689" i="1"/>
  <c r="BJ688" i="1"/>
  <c r="BF688" i="1"/>
  <c r="BD688" i="1"/>
  <c r="AX688" i="1"/>
  <c r="AP688" i="1"/>
  <c r="BI688" i="1" s="1"/>
  <c r="AO688" i="1"/>
  <c r="H688" i="1" s="1"/>
  <c r="AK688" i="1"/>
  <c r="AJ688" i="1"/>
  <c r="AH688" i="1"/>
  <c r="AG688" i="1"/>
  <c r="AE688" i="1"/>
  <c r="AD688" i="1"/>
  <c r="AC688" i="1"/>
  <c r="AB688" i="1"/>
  <c r="Z688" i="1"/>
  <c r="J688" i="1"/>
  <c r="AL688" i="1" s="1"/>
  <c r="I688" i="1"/>
  <c r="BJ687" i="1"/>
  <c r="BF687" i="1"/>
  <c r="BD687" i="1"/>
  <c r="AP687" i="1"/>
  <c r="AO687" i="1"/>
  <c r="AK687" i="1"/>
  <c r="AJ687" i="1"/>
  <c r="AH687" i="1"/>
  <c r="AE687" i="1"/>
  <c r="AD687" i="1"/>
  <c r="AC687" i="1"/>
  <c r="AB687" i="1"/>
  <c r="Z687" i="1"/>
  <c r="J687" i="1"/>
  <c r="AL687" i="1" s="1"/>
  <c r="BJ686" i="1"/>
  <c r="BF686" i="1"/>
  <c r="BD686" i="1"/>
  <c r="AP686" i="1"/>
  <c r="AO686" i="1"/>
  <c r="BH686" i="1" s="1"/>
  <c r="AF686" i="1" s="1"/>
  <c r="AK686" i="1"/>
  <c r="AJ686" i="1"/>
  <c r="AH686" i="1"/>
  <c r="AE686" i="1"/>
  <c r="AD686" i="1"/>
  <c r="AC686" i="1"/>
  <c r="AB686" i="1"/>
  <c r="Z686" i="1"/>
  <c r="J686" i="1"/>
  <c r="AL686" i="1" s="1"/>
  <c r="BJ685" i="1"/>
  <c r="BF685" i="1"/>
  <c r="BD685" i="1"/>
  <c r="AW685" i="1"/>
  <c r="AP685" i="1"/>
  <c r="BI685" i="1" s="1"/>
  <c r="AG685" i="1" s="1"/>
  <c r="AO685" i="1"/>
  <c r="BH685" i="1" s="1"/>
  <c r="AK685" i="1"/>
  <c r="AJ685" i="1"/>
  <c r="AH685" i="1"/>
  <c r="AF685" i="1"/>
  <c r="AE685" i="1"/>
  <c r="AD685" i="1"/>
  <c r="AC685" i="1"/>
  <c r="AB685" i="1"/>
  <c r="Z685" i="1"/>
  <c r="J685" i="1"/>
  <c r="AL685" i="1" s="1"/>
  <c r="H685" i="1"/>
  <c r="BJ684" i="1"/>
  <c r="BF684" i="1"/>
  <c r="BD684" i="1"/>
  <c r="AP684" i="1"/>
  <c r="AO684" i="1"/>
  <c r="AK684" i="1"/>
  <c r="AJ684" i="1"/>
  <c r="AH684" i="1"/>
  <c r="AE684" i="1"/>
  <c r="AD684" i="1"/>
  <c r="AC684" i="1"/>
  <c r="AB684" i="1"/>
  <c r="Z684" i="1"/>
  <c r="J684" i="1"/>
  <c r="AL684" i="1" s="1"/>
  <c r="BJ683" i="1"/>
  <c r="BH683" i="1"/>
  <c r="AF683" i="1" s="1"/>
  <c r="BF683" i="1"/>
  <c r="BD683" i="1"/>
  <c r="AX683" i="1"/>
  <c r="AP683" i="1"/>
  <c r="AO683" i="1"/>
  <c r="AK683" i="1"/>
  <c r="AJ683" i="1"/>
  <c r="AH683" i="1"/>
  <c r="AE683" i="1"/>
  <c r="AD683" i="1"/>
  <c r="AC683" i="1"/>
  <c r="AB683" i="1"/>
  <c r="Z683" i="1"/>
  <c r="J683" i="1"/>
  <c r="AL683" i="1" s="1"/>
  <c r="BJ682" i="1"/>
  <c r="BI682" i="1"/>
  <c r="AG682" i="1" s="1"/>
  <c r="BF682" i="1"/>
  <c r="BD682" i="1"/>
  <c r="AP682" i="1"/>
  <c r="AO682" i="1"/>
  <c r="AK682" i="1"/>
  <c r="AJ682" i="1"/>
  <c r="AH682" i="1"/>
  <c r="AE682" i="1"/>
  <c r="AD682" i="1"/>
  <c r="AC682" i="1"/>
  <c r="AB682" i="1"/>
  <c r="Z682" i="1"/>
  <c r="J682" i="1"/>
  <c r="AL682" i="1" s="1"/>
  <c r="BJ681" i="1"/>
  <c r="BF681" i="1"/>
  <c r="BD681" i="1"/>
  <c r="AW681" i="1"/>
  <c r="AP681" i="1"/>
  <c r="BI681" i="1" s="1"/>
  <c r="AG681" i="1" s="1"/>
  <c r="AO681" i="1"/>
  <c r="BH681" i="1" s="1"/>
  <c r="AF681" i="1" s="1"/>
  <c r="AK681" i="1"/>
  <c r="AJ681" i="1"/>
  <c r="AH681" i="1"/>
  <c r="AE681" i="1"/>
  <c r="AD681" i="1"/>
  <c r="AC681" i="1"/>
  <c r="AB681" i="1"/>
  <c r="Z681" i="1"/>
  <c r="J681" i="1"/>
  <c r="AL681" i="1" s="1"/>
  <c r="I681" i="1"/>
  <c r="H681" i="1"/>
  <c r="BJ680" i="1"/>
  <c r="BH680" i="1"/>
  <c r="AF680" i="1" s="1"/>
  <c r="BF680" i="1"/>
  <c r="BD680" i="1"/>
  <c r="AW680" i="1"/>
  <c r="AP680" i="1"/>
  <c r="AO680" i="1"/>
  <c r="H680" i="1" s="1"/>
  <c r="AL680" i="1"/>
  <c r="AK680" i="1"/>
  <c r="AJ680" i="1"/>
  <c r="AH680" i="1"/>
  <c r="AE680" i="1"/>
  <c r="AD680" i="1"/>
  <c r="AC680" i="1"/>
  <c r="AB680" i="1"/>
  <c r="Z680" i="1"/>
  <c r="J680" i="1"/>
  <c r="BJ679" i="1"/>
  <c r="BI679" i="1"/>
  <c r="AG679" i="1" s="1"/>
  <c r="BF679" i="1"/>
  <c r="BD679" i="1"/>
  <c r="AP679" i="1"/>
  <c r="I679" i="1" s="1"/>
  <c r="AO679" i="1"/>
  <c r="AK679" i="1"/>
  <c r="AJ679" i="1"/>
  <c r="AH679" i="1"/>
  <c r="AE679" i="1"/>
  <c r="AD679" i="1"/>
  <c r="AC679" i="1"/>
  <c r="AB679" i="1"/>
  <c r="Z679" i="1"/>
  <c r="J679" i="1"/>
  <c r="AL679" i="1" s="1"/>
  <c r="BJ678" i="1"/>
  <c r="BF678" i="1"/>
  <c r="BD678" i="1"/>
  <c r="AP678" i="1"/>
  <c r="AO678" i="1"/>
  <c r="BH678" i="1" s="1"/>
  <c r="AF678" i="1" s="1"/>
  <c r="AK678" i="1"/>
  <c r="AJ678" i="1"/>
  <c r="AH678" i="1"/>
  <c r="AE678" i="1"/>
  <c r="AD678" i="1"/>
  <c r="AC678" i="1"/>
  <c r="AB678" i="1"/>
  <c r="Z678" i="1"/>
  <c r="J678" i="1"/>
  <c r="AL678" i="1" s="1"/>
  <c r="H678" i="1"/>
  <c r="BJ677" i="1"/>
  <c r="BF677" i="1"/>
  <c r="BD677" i="1"/>
  <c r="AP677" i="1"/>
  <c r="BI677" i="1" s="1"/>
  <c r="AO677" i="1"/>
  <c r="BH677" i="1" s="1"/>
  <c r="AF677" i="1" s="1"/>
  <c r="AL677" i="1"/>
  <c r="AK677" i="1"/>
  <c r="AJ677" i="1"/>
  <c r="AH677" i="1"/>
  <c r="AG677" i="1"/>
  <c r="AE677" i="1"/>
  <c r="AD677" i="1"/>
  <c r="AC677" i="1"/>
  <c r="AB677" i="1"/>
  <c r="Z677" i="1"/>
  <c r="J677" i="1"/>
  <c r="I677" i="1"/>
  <c r="H677" i="1"/>
  <c r="BJ676" i="1"/>
  <c r="BF676" i="1"/>
  <c r="BD676" i="1"/>
  <c r="AX676" i="1"/>
  <c r="AP676" i="1"/>
  <c r="BI676" i="1" s="1"/>
  <c r="AG676" i="1" s="1"/>
  <c r="AO676" i="1"/>
  <c r="AK676" i="1"/>
  <c r="AJ676" i="1"/>
  <c r="AH676" i="1"/>
  <c r="AE676" i="1"/>
  <c r="AD676" i="1"/>
  <c r="AC676" i="1"/>
  <c r="AB676" i="1"/>
  <c r="Z676" i="1"/>
  <c r="J676" i="1"/>
  <c r="AL676" i="1" s="1"/>
  <c r="I676" i="1"/>
  <c r="BJ675" i="1"/>
  <c r="BF675" i="1"/>
  <c r="BD675" i="1"/>
  <c r="AP675" i="1"/>
  <c r="AO675" i="1"/>
  <c r="BH675" i="1" s="1"/>
  <c r="AF675" i="1" s="1"/>
  <c r="AK675" i="1"/>
  <c r="AJ675" i="1"/>
  <c r="AH675" i="1"/>
  <c r="AE675" i="1"/>
  <c r="AD675" i="1"/>
  <c r="AC675" i="1"/>
  <c r="AB675" i="1"/>
  <c r="Z675" i="1"/>
  <c r="J675" i="1"/>
  <c r="AL675" i="1" s="1"/>
  <c r="BJ674" i="1"/>
  <c r="BF674" i="1"/>
  <c r="BD674" i="1"/>
  <c r="AP674" i="1"/>
  <c r="BI674" i="1" s="1"/>
  <c r="AG674" i="1" s="1"/>
  <c r="AO674" i="1"/>
  <c r="BH674" i="1" s="1"/>
  <c r="AK674" i="1"/>
  <c r="AJ674" i="1"/>
  <c r="AH674" i="1"/>
  <c r="AF674" i="1"/>
  <c r="AE674" i="1"/>
  <c r="AD674" i="1"/>
  <c r="AC674" i="1"/>
  <c r="AB674" i="1"/>
  <c r="Z674" i="1"/>
  <c r="J674" i="1"/>
  <c r="AL674" i="1" s="1"/>
  <c r="H674" i="1"/>
  <c r="BJ673" i="1"/>
  <c r="BF673" i="1"/>
  <c r="BD673" i="1"/>
  <c r="AP673" i="1"/>
  <c r="BI673" i="1" s="1"/>
  <c r="AG673" i="1" s="1"/>
  <c r="AO673" i="1"/>
  <c r="BH673" i="1" s="1"/>
  <c r="AF673" i="1" s="1"/>
  <c r="AK673" i="1"/>
  <c r="AJ673" i="1"/>
  <c r="AH673" i="1"/>
  <c r="AE673" i="1"/>
  <c r="AD673" i="1"/>
  <c r="AC673" i="1"/>
  <c r="AB673" i="1"/>
  <c r="Z673" i="1"/>
  <c r="J673" i="1"/>
  <c r="AL673" i="1" s="1"/>
  <c r="I673" i="1"/>
  <c r="H673" i="1"/>
  <c r="BJ672" i="1"/>
  <c r="BH672" i="1"/>
  <c r="AF672" i="1" s="1"/>
  <c r="BF672" i="1"/>
  <c r="BD672" i="1"/>
  <c r="AX672" i="1"/>
  <c r="AW672" i="1"/>
  <c r="AP672" i="1"/>
  <c r="BI672" i="1" s="1"/>
  <c r="AG672" i="1" s="1"/>
  <c r="AO672" i="1"/>
  <c r="H672" i="1" s="1"/>
  <c r="AL672" i="1"/>
  <c r="AK672" i="1"/>
  <c r="AJ672" i="1"/>
  <c r="AH672" i="1"/>
  <c r="AE672" i="1"/>
  <c r="AD672" i="1"/>
  <c r="AC672" i="1"/>
  <c r="AB672" i="1"/>
  <c r="Z672" i="1"/>
  <c r="J672" i="1"/>
  <c r="I672" i="1"/>
  <c r="BJ671" i="1"/>
  <c r="BI671" i="1"/>
  <c r="AG671" i="1" s="1"/>
  <c r="BF671" i="1"/>
  <c r="BD671" i="1"/>
  <c r="AP671" i="1"/>
  <c r="I671" i="1" s="1"/>
  <c r="AO671" i="1"/>
  <c r="AK671" i="1"/>
  <c r="AJ671" i="1"/>
  <c r="AH671" i="1"/>
  <c r="AE671" i="1"/>
  <c r="AD671" i="1"/>
  <c r="AC671" i="1"/>
  <c r="AB671" i="1"/>
  <c r="Z671" i="1"/>
  <c r="J671" i="1"/>
  <c r="AL671" i="1" s="1"/>
  <c r="BJ670" i="1"/>
  <c r="BF670" i="1"/>
  <c r="BD670" i="1"/>
  <c r="AP670" i="1"/>
  <c r="AO670" i="1"/>
  <c r="AK670" i="1"/>
  <c r="AJ670" i="1"/>
  <c r="AH670" i="1"/>
  <c r="AE670" i="1"/>
  <c r="AD670" i="1"/>
  <c r="AC670" i="1"/>
  <c r="AB670" i="1"/>
  <c r="Z670" i="1"/>
  <c r="J670" i="1"/>
  <c r="AL670" i="1" s="1"/>
  <c r="BJ669" i="1"/>
  <c r="BF669" i="1"/>
  <c r="BD669" i="1"/>
  <c r="AP669" i="1"/>
  <c r="BI669" i="1" s="1"/>
  <c r="AO669" i="1"/>
  <c r="BH669" i="1" s="1"/>
  <c r="AF669" i="1" s="1"/>
  <c r="AK669" i="1"/>
  <c r="AJ669" i="1"/>
  <c r="AH669" i="1"/>
  <c r="AG669" i="1"/>
  <c r="AE669" i="1"/>
  <c r="AD669" i="1"/>
  <c r="AC669" i="1"/>
  <c r="AB669" i="1"/>
  <c r="Z669" i="1"/>
  <c r="J669" i="1"/>
  <c r="AL669" i="1" s="1"/>
  <c r="BJ668" i="1"/>
  <c r="BF668" i="1"/>
  <c r="BD668" i="1"/>
  <c r="AP668" i="1"/>
  <c r="AO668" i="1"/>
  <c r="AK668" i="1"/>
  <c r="AJ668" i="1"/>
  <c r="AH668" i="1"/>
  <c r="AE668" i="1"/>
  <c r="AD668" i="1"/>
  <c r="AC668" i="1"/>
  <c r="AB668" i="1"/>
  <c r="Z668" i="1"/>
  <c r="J668" i="1"/>
  <c r="AL668" i="1" s="1"/>
  <c r="BJ667" i="1"/>
  <c r="BH667" i="1"/>
  <c r="AF667" i="1" s="1"/>
  <c r="BF667" i="1"/>
  <c r="BD667" i="1"/>
  <c r="AP667" i="1"/>
  <c r="AO667" i="1"/>
  <c r="AK667" i="1"/>
  <c r="AJ667" i="1"/>
  <c r="AH667" i="1"/>
  <c r="AE667" i="1"/>
  <c r="AD667" i="1"/>
  <c r="AC667" i="1"/>
  <c r="AB667" i="1"/>
  <c r="Z667" i="1"/>
  <c r="J667" i="1"/>
  <c r="AL667" i="1" s="1"/>
  <c r="BJ666" i="1"/>
  <c r="BI666" i="1"/>
  <c r="AG666" i="1" s="1"/>
  <c r="BF666" i="1"/>
  <c r="BD666" i="1"/>
  <c r="AP666" i="1"/>
  <c r="AO666" i="1"/>
  <c r="BH666" i="1" s="1"/>
  <c r="AK666" i="1"/>
  <c r="AJ666" i="1"/>
  <c r="AH666" i="1"/>
  <c r="AF666" i="1"/>
  <c r="AE666" i="1"/>
  <c r="AD666" i="1"/>
  <c r="AC666" i="1"/>
  <c r="AB666" i="1"/>
  <c r="Z666" i="1"/>
  <c r="J666" i="1"/>
  <c r="AL666" i="1" s="1"/>
  <c r="BJ665" i="1"/>
  <c r="BF665" i="1"/>
  <c r="BD665" i="1"/>
  <c r="AP665" i="1"/>
  <c r="BI665" i="1" s="1"/>
  <c r="AG665" i="1" s="1"/>
  <c r="AO665" i="1"/>
  <c r="AL665" i="1"/>
  <c r="AK665" i="1"/>
  <c r="AJ665" i="1"/>
  <c r="AH665" i="1"/>
  <c r="AE665" i="1"/>
  <c r="AD665" i="1"/>
  <c r="AC665" i="1"/>
  <c r="AB665" i="1"/>
  <c r="Z665" i="1"/>
  <c r="J665" i="1"/>
  <c r="I665" i="1"/>
  <c r="H665" i="1"/>
  <c r="BJ664" i="1"/>
  <c r="BH664" i="1"/>
  <c r="AF664" i="1" s="1"/>
  <c r="BF664" i="1"/>
  <c r="BD664" i="1"/>
  <c r="AW664" i="1"/>
  <c r="AP664" i="1"/>
  <c r="BI664" i="1" s="1"/>
  <c r="AO664" i="1"/>
  <c r="H664" i="1" s="1"/>
  <c r="AL664" i="1"/>
  <c r="AK664" i="1"/>
  <c r="AJ664" i="1"/>
  <c r="AH664" i="1"/>
  <c r="AG664" i="1"/>
  <c r="AE664" i="1"/>
  <c r="AD664" i="1"/>
  <c r="AC664" i="1"/>
  <c r="AB664" i="1"/>
  <c r="Z664" i="1"/>
  <c r="J664" i="1"/>
  <c r="BJ663" i="1"/>
  <c r="BF663" i="1"/>
  <c r="BD663" i="1"/>
  <c r="AP663" i="1"/>
  <c r="AO663" i="1"/>
  <c r="AK663" i="1"/>
  <c r="AJ663" i="1"/>
  <c r="AH663" i="1"/>
  <c r="AE663" i="1"/>
  <c r="AD663" i="1"/>
  <c r="AC663" i="1"/>
  <c r="AB663" i="1"/>
  <c r="Z663" i="1"/>
  <c r="J663" i="1"/>
  <c r="AL663" i="1" s="1"/>
  <c r="BJ662" i="1"/>
  <c r="BF662" i="1"/>
  <c r="BD662" i="1"/>
  <c r="AP662" i="1"/>
  <c r="AO662" i="1"/>
  <c r="BH662" i="1" s="1"/>
  <c r="AF662" i="1" s="1"/>
  <c r="AK662" i="1"/>
  <c r="AJ662" i="1"/>
  <c r="AH662" i="1"/>
  <c r="AE662" i="1"/>
  <c r="AD662" i="1"/>
  <c r="AC662" i="1"/>
  <c r="AB662" i="1"/>
  <c r="Z662" i="1"/>
  <c r="J662" i="1"/>
  <c r="AL662" i="1" s="1"/>
  <c r="BJ661" i="1"/>
  <c r="BF661" i="1"/>
  <c r="BD661" i="1"/>
  <c r="AP661" i="1"/>
  <c r="BI661" i="1" s="1"/>
  <c r="AO661" i="1"/>
  <c r="AK661" i="1"/>
  <c r="AJ661" i="1"/>
  <c r="AH661" i="1"/>
  <c r="AG661" i="1"/>
  <c r="AE661" i="1"/>
  <c r="AD661" i="1"/>
  <c r="AC661" i="1"/>
  <c r="AB661" i="1"/>
  <c r="Z661" i="1"/>
  <c r="J661" i="1"/>
  <c r="AL661" i="1" s="1"/>
  <c r="I661" i="1"/>
  <c r="H661" i="1"/>
  <c r="BJ660" i="1"/>
  <c r="BF660" i="1"/>
  <c r="BD660" i="1"/>
  <c r="AP660" i="1"/>
  <c r="BI660" i="1" s="1"/>
  <c r="AG660" i="1" s="1"/>
  <c r="AO660" i="1"/>
  <c r="AK660" i="1"/>
  <c r="AJ660" i="1"/>
  <c r="AH660" i="1"/>
  <c r="AE660" i="1"/>
  <c r="AD660" i="1"/>
  <c r="AC660" i="1"/>
  <c r="AB660" i="1"/>
  <c r="Z660" i="1"/>
  <c r="J660" i="1"/>
  <c r="AL660" i="1" s="1"/>
  <c r="BJ659" i="1"/>
  <c r="BF659" i="1"/>
  <c r="BD659" i="1"/>
  <c r="AP659" i="1"/>
  <c r="AO659" i="1"/>
  <c r="BH659" i="1" s="1"/>
  <c r="AF659" i="1" s="1"/>
  <c r="AK659" i="1"/>
  <c r="AJ659" i="1"/>
  <c r="AH659" i="1"/>
  <c r="AE659" i="1"/>
  <c r="AD659" i="1"/>
  <c r="AC659" i="1"/>
  <c r="AB659" i="1"/>
  <c r="Z659" i="1"/>
  <c r="J659" i="1"/>
  <c r="AL659" i="1" s="1"/>
  <c r="BJ658" i="1"/>
  <c r="BF658" i="1"/>
  <c r="BD658" i="1"/>
  <c r="AP658" i="1"/>
  <c r="BI658" i="1" s="1"/>
  <c r="AG658" i="1" s="1"/>
  <c r="AO658" i="1"/>
  <c r="BH658" i="1" s="1"/>
  <c r="AF658" i="1" s="1"/>
  <c r="AK658" i="1"/>
  <c r="AJ658" i="1"/>
  <c r="AH658" i="1"/>
  <c r="AE658" i="1"/>
  <c r="AD658" i="1"/>
  <c r="AC658" i="1"/>
  <c r="AB658" i="1"/>
  <c r="Z658" i="1"/>
  <c r="J658" i="1"/>
  <c r="AL658" i="1" s="1"/>
  <c r="BJ657" i="1"/>
  <c r="BF657" i="1"/>
  <c r="BD657" i="1"/>
  <c r="AW657" i="1"/>
  <c r="AP657" i="1"/>
  <c r="BI657" i="1" s="1"/>
  <c r="AG657" i="1" s="1"/>
  <c r="AO657" i="1"/>
  <c r="BH657" i="1" s="1"/>
  <c r="AF657" i="1" s="1"/>
  <c r="AK657" i="1"/>
  <c r="AJ657" i="1"/>
  <c r="AH657" i="1"/>
  <c r="AE657" i="1"/>
  <c r="AD657" i="1"/>
  <c r="AC657" i="1"/>
  <c r="AB657" i="1"/>
  <c r="Z657" i="1"/>
  <c r="J657" i="1"/>
  <c r="AL657" i="1" s="1"/>
  <c r="I657" i="1"/>
  <c r="H657" i="1"/>
  <c r="BJ656" i="1"/>
  <c r="BF656" i="1"/>
  <c r="BD656" i="1"/>
  <c r="AP656" i="1"/>
  <c r="AO656" i="1"/>
  <c r="AK656" i="1"/>
  <c r="AJ656" i="1"/>
  <c r="AH656" i="1"/>
  <c r="AE656" i="1"/>
  <c r="AD656" i="1"/>
  <c r="AC656" i="1"/>
  <c r="AB656" i="1"/>
  <c r="Z656" i="1"/>
  <c r="J656" i="1"/>
  <c r="AL656" i="1" s="1"/>
  <c r="I656" i="1"/>
  <c r="BJ655" i="1"/>
  <c r="BI655" i="1"/>
  <c r="AG655" i="1" s="1"/>
  <c r="BF655" i="1"/>
  <c r="BD655" i="1"/>
  <c r="AP655" i="1"/>
  <c r="I655" i="1" s="1"/>
  <c r="AO655" i="1"/>
  <c r="AK655" i="1"/>
  <c r="AJ655" i="1"/>
  <c r="AH655" i="1"/>
  <c r="AE655" i="1"/>
  <c r="AD655" i="1"/>
  <c r="AC655" i="1"/>
  <c r="AB655" i="1"/>
  <c r="Z655" i="1"/>
  <c r="J655" i="1"/>
  <c r="AL655" i="1" s="1"/>
  <c r="BJ654" i="1"/>
  <c r="BF654" i="1"/>
  <c r="BD654" i="1"/>
  <c r="AP654" i="1"/>
  <c r="AO654" i="1"/>
  <c r="AK654" i="1"/>
  <c r="AJ654" i="1"/>
  <c r="AH654" i="1"/>
  <c r="AE654" i="1"/>
  <c r="AD654" i="1"/>
  <c r="AC654" i="1"/>
  <c r="AB654" i="1"/>
  <c r="Z654" i="1"/>
  <c r="J654" i="1"/>
  <c r="AL654" i="1" s="1"/>
  <c r="BJ653" i="1"/>
  <c r="BF653" i="1"/>
  <c r="BD653" i="1"/>
  <c r="AW653" i="1"/>
  <c r="AP653" i="1"/>
  <c r="AO653" i="1"/>
  <c r="BH653" i="1" s="1"/>
  <c r="AF653" i="1" s="1"/>
  <c r="AL653" i="1"/>
  <c r="AK653" i="1"/>
  <c r="AJ653" i="1"/>
  <c r="AH653" i="1"/>
  <c r="AE653" i="1"/>
  <c r="AD653" i="1"/>
  <c r="AC653" i="1"/>
  <c r="AB653" i="1"/>
  <c r="Z653" i="1"/>
  <c r="J653" i="1"/>
  <c r="H653" i="1"/>
  <c r="BJ652" i="1"/>
  <c r="BF652" i="1"/>
  <c r="BD652" i="1"/>
  <c r="AP652" i="1"/>
  <c r="AO652" i="1"/>
  <c r="AK652" i="1"/>
  <c r="AJ652" i="1"/>
  <c r="AH652" i="1"/>
  <c r="AE652" i="1"/>
  <c r="AD652" i="1"/>
  <c r="AC652" i="1"/>
  <c r="AB652" i="1"/>
  <c r="Z652" i="1"/>
  <c r="J652" i="1"/>
  <c r="AL652" i="1" s="1"/>
  <c r="BJ651" i="1"/>
  <c r="BF651" i="1"/>
  <c r="BD651" i="1"/>
  <c r="AP651" i="1"/>
  <c r="AO651" i="1"/>
  <c r="BH651" i="1" s="1"/>
  <c r="AF651" i="1" s="1"/>
  <c r="AK651" i="1"/>
  <c r="AJ651" i="1"/>
  <c r="AH651" i="1"/>
  <c r="AE651" i="1"/>
  <c r="AD651" i="1"/>
  <c r="AC651" i="1"/>
  <c r="AB651" i="1"/>
  <c r="Z651" i="1"/>
  <c r="J651" i="1"/>
  <c r="AL651" i="1" s="1"/>
  <c r="BJ650" i="1"/>
  <c r="BI650" i="1"/>
  <c r="AG650" i="1" s="1"/>
  <c r="BF650" i="1"/>
  <c r="BD650" i="1"/>
  <c r="AP650" i="1"/>
  <c r="AO650" i="1"/>
  <c r="BH650" i="1" s="1"/>
  <c r="AK650" i="1"/>
  <c r="AJ650" i="1"/>
  <c r="AH650" i="1"/>
  <c r="AF650" i="1"/>
  <c r="AE650" i="1"/>
  <c r="AD650" i="1"/>
  <c r="AC650" i="1"/>
  <c r="AB650" i="1"/>
  <c r="Z650" i="1"/>
  <c r="J650" i="1"/>
  <c r="AL650" i="1" s="1"/>
  <c r="H650" i="1"/>
  <c r="BJ649" i="1"/>
  <c r="BF649" i="1"/>
  <c r="BD649" i="1"/>
  <c r="AP649" i="1"/>
  <c r="BI649" i="1" s="1"/>
  <c r="AG649" i="1" s="1"/>
  <c r="AO649" i="1"/>
  <c r="BH649" i="1" s="1"/>
  <c r="AF649" i="1" s="1"/>
  <c r="AL649" i="1"/>
  <c r="AK649" i="1"/>
  <c r="AJ649" i="1"/>
  <c r="AH649" i="1"/>
  <c r="AE649" i="1"/>
  <c r="AD649" i="1"/>
  <c r="AC649" i="1"/>
  <c r="AB649" i="1"/>
  <c r="Z649" i="1"/>
  <c r="J649" i="1"/>
  <c r="I649" i="1"/>
  <c r="H649" i="1"/>
  <c r="BJ648" i="1"/>
  <c r="BH648" i="1"/>
  <c r="AF648" i="1" s="1"/>
  <c r="BF648" i="1"/>
  <c r="BD648" i="1"/>
  <c r="AX648" i="1"/>
  <c r="AW648" i="1"/>
  <c r="AP648" i="1"/>
  <c r="BI648" i="1" s="1"/>
  <c r="AO648" i="1"/>
  <c r="H648" i="1" s="1"/>
  <c r="AL648" i="1"/>
  <c r="AK648" i="1"/>
  <c r="AJ648" i="1"/>
  <c r="AH648" i="1"/>
  <c r="AG648" i="1"/>
  <c r="AE648" i="1"/>
  <c r="AD648" i="1"/>
  <c r="AC648" i="1"/>
  <c r="AB648" i="1"/>
  <c r="Z648" i="1"/>
  <c r="J648" i="1"/>
  <c r="BJ647" i="1"/>
  <c r="BF647" i="1"/>
  <c r="BD647" i="1"/>
  <c r="AP647" i="1"/>
  <c r="AO647" i="1"/>
  <c r="AK647" i="1"/>
  <c r="AJ647" i="1"/>
  <c r="AH647" i="1"/>
  <c r="AE647" i="1"/>
  <c r="AD647" i="1"/>
  <c r="AC647" i="1"/>
  <c r="AB647" i="1"/>
  <c r="Z647" i="1"/>
  <c r="J647" i="1"/>
  <c r="AL647" i="1" s="1"/>
  <c r="BJ646" i="1"/>
  <c r="BF646" i="1"/>
  <c r="BD646" i="1"/>
  <c r="AP646" i="1"/>
  <c r="BI646" i="1" s="1"/>
  <c r="AG646" i="1" s="1"/>
  <c r="AO646" i="1"/>
  <c r="H646" i="1" s="1"/>
  <c r="AK646" i="1"/>
  <c r="AJ646" i="1"/>
  <c r="AH646" i="1"/>
  <c r="AE646" i="1"/>
  <c r="AD646" i="1"/>
  <c r="AC646" i="1"/>
  <c r="AB646" i="1"/>
  <c r="Z646" i="1"/>
  <c r="J646" i="1"/>
  <c r="AL646" i="1" s="1"/>
  <c r="BJ645" i="1"/>
  <c r="BH645" i="1"/>
  <c r="AF645" i="1" s="1"/>
  <c r="BF645" i="1"/>
  <c r="BD645" i="1"/>
  <c r="AP645" i="1"/>
  <c r="AO645" i="1"/>
  <c r="AK645" i="1"/>
  <c r="AJ645" i="1"/>
  <c r="AH645" i="1"/>
  <c r="AE645" i="1"/>
  <c r="AD645" i="1"/>
  <c r="AC645" i="1"/>
  <c r="AB645" i="1"/>
  <c r="Z645" i="1"/>
  <c r="J645" i="1"/>
  <c r="AL645" i="1" s="1"/>
  <c r="BJ644" i="1"/>
  <c r="BI644" i="1"/>
  <c r="AG644" i="1" s="1"/>
  <c r="BF644" i="1"/>
  <c r="BD644" i="1"/>
  <c r="AW644" i="1"/>
  <c r="AP644" i="1"/>
  <c r="AO644" i="1"/>
  <c r="BH644" i="1" s="1"/>
  <c r="AF644" i="1" s="1"/>
  <c r="AK644" i="1"/>
  <c r="AJ644" i="1"/>
  <c r="AH644" i="1"/>
  <c r="AE644" i="1"/>
  <c r="AD644" i="1"/>
  <c r="AC644" i="1"/>
  <c r="AB644" i="1"/>
  <c r="Z644" i="1"/>
  <c r="J644" i="1"/>
  <c r="AL644" i="1" s="1"/>
  <c r="H644" i="1"/>
  <c r="BJ643" i="1"/>
  <c r="BF643" i="1"/>
  <c r="BD643" i="1"/>
  <c r="AW643" i="1"/>
  <c r="AP643" i="1"/>
  <c r="BI643" i="1" s="1"/>
  <c r="AO643" i="1"/>
  <c r="BH643" i="1" s="1"/>
  <c r="AF643" i="1" s="1"/>
  <c r="AL643" i="1"/>
  <c r="AK643" i="1"/>
  <c r="AJ643" i="1"/>
  <c r="AH643" i="1"/>
  <c r="AG643" i="1"/>
  <c r="AE643" i="1"/>
  <c r="AD643" i="1"/>
  <c r="AC643" i="1"/>
  <c r="AB643" i="1"/>
  <c r="Z643" i="1"/>
  <c r="J643" i="1"/>
  <c r="H643" i="1"/>
  <c r="BJ642" i="1"/>
  <c r="BH642" i="1"/>
  <c r="AF642" i="1" s="1"/>
  <c r="BF642" i="1"/>
  <c r="BD642" i="1"/>
  <c r="AW642" i="1"/>
  <c r="AP642" i="1"/>
  <c r="BI642" i="1" s="1"/>
  <c r="AG642" i="1" s="1"/>
  <c r="AO642" i="1"/>
  <c r="H642" i="1" s="1"/>
  <c r="AK642" i="1"/>
  <c r="AJ642" i="1"/>
  <c r="AH642" i="1"/>
  <c r="AE642" i="1"/>
  <c r="AD642" i="1"/>
  <c r="AC642" i="1"/>
  <c r="AB642" i="1"/>
  <c r="Z642" i="1"/>
  <c r="J642" i="1"/>
  <c r="AL642" i="1" s="1"/>
  <c r="BJ641" i="1"/>
  <c r="BI641" i="1"/>
  <c r="AG641" i="1" s="1"/>
  <c r="BF641" i="1"/>
  <c r="BD641" i="1"/>
  <c r="AX641" i="1"/>
  <c r="AP641" i="1"/>
  <c r="I641" i="1" s="1"/>
  <c r="AO641" i="1"/>
  <c r="BH641" i="1" s="1"/>
  <c r="AF641" i="1" s="1"/>
  <c r="AK641" i="1"/>
  <c r="AJ641" i="1"/>
  <c r="AH641" i="1"/>
  <c r="AE641" i="1"/>
  <c r="AD641" i="1"/>
  <c r="AC641" i="1"/>
  <c r="AB641" i="1"/>
  <c r="Z641" i="1"/>
  <c r="J641" i="1"/>
  <c r="AL641" i="1" s="1"/>
  <c r="BJ640" i="1"/>
  <c r="BF640" i="1"/>
  <c r="BD640" i="1"/>
  <c r="AW640" i="1"/>
  <c r="AP640" i="1"/>
  <c r="AO640" i="1"/>
  <c r="BH640" i="1" s="1"/>
  <c r="AK640" i="1"/>
  <c r="AJ640" i="1"/>
  <c r="AH640" i="1"/>
  <c r="AF640" i="1"/>
  <c r="AE640" i="1"/>
  <c r="AD640" i="1"/>
  <c r="AC640" i="1"/>
  <c r="AB640" i="1"/>
  <c r="Z640" i="1"/>
  <c r="J640" i="1"/>
  <c r="AL640" i="1" s="1"/>
  <c r="H640" i="1"/>
  <c r="BJ639" i="1"/>
  <c r="BF639" i="1"/>
  <c r="BD639" i="1"/>
  <c r="AX639" i="1"/>
  <c r="AP639" i="1"/>
  <c r="BI639" i="1" s="1"/>
  <c r="AG639" i="1" s="1"/>
  <c r="AO639" i="1"/>
  <c r="AK639" i="1"/>
  <c r="AJ639" i="1"/>
  <c r="AH639" i="1"/>
  <c r="AE639" i="1"/>
  <c r="AD639" i="1"/>
  <c r="AC639" i="1"/>
  <c r="AB639" i="1"/>
  <c r="Z639" i="1"/>
  <c r="J639" i="1"/>
  <c r="AL639" i="1" s="1"/>
  <c r="I639" i="1"/>
  <c r="BJ638" i="1"/>
  <c r="BH638" i="1"/>
  <c r="AF638" i="1" s="1"/>
  <c r="BF638" i="1"/>
  <c r="BD638" i="1"/>
  <c r="AP638" i="1"/>
  <c r="BI638" i="1" s="1"/>
  <c r="AG638" i="1" s="1"/>
  <c r="AO638" i="1"/>
  <c r="H638" i="1" s="1"/>
  <c r="AK638" i="1"/>
  <c r="AJ638" i="1"/>
  <c r="AH638" i="1"/>
  <c r="AE638" i="1"/>
  <c r="AD638" i="1"/>
  <c r="AC638" i="1"/>
  <c r="AB638" i="1"/>
  <c r="Z638" i="1"/>
  <c r="J638" i="1"/>
  <c r="AL638" i="1" s="1"/>
  <c r="BJ637" i="1"/>
  <c r="BF637" i="1"/>
  <c r="BD637" i="1"/>
  <c r="AP637" i="1"/>
  <c r="AO637" i="1"/>
  <c r="AK637" i="1"/>
  <c r="AJ637" i="1"/>
  <c r="AH637" i="1"/>
  <c r="AE637" i="1"/>
  <c r="AD637" i="1"/>
  <c r="AC637" i="1"/>
  <c r="AB637" i="1"/>
  <c r="Z637" i="1"/>
  <c r="J637" i="1"/>
  <c r="AL637" i="1" s="1"/>
  <c r="BJ636" i="1"/>
  <c r="BF636" i="1"/>
  <c r="BD636" i="1"/>
  <c r="AW636" i="1"/>
  <c r="AP636" i="1"/>
  <c r="BI636" i="1" s="1"/>
  <c r="AG636" i="1" s="1"/>
  <c r="AO636" i="1"/>
  <c r="BH636" i="1" s="1"/>
  <c r="AF636" i="1" s="1"/>
  <c r="AK636" i="1"/>
  <c r="AJ636" i="1"/>
  <c r="AH636" i="1"/>
  <c r="AE636" i="1"/>
  <c r="AD636" i="1"/>
  <c r="AC636" i="1"/>
  <c r="AB636" i="1"/>
  <c r="Z636" i="1"/>
  <c r="J636" i="1"/>
  <c r="AL636" i="1" s="1"/>
  <c r="BJ635" i="1"/>
  <c r="BF635" i="1"/>
  <c r="BD635" i="1"/>
  <c r="AW635" i="1"/>
  <c r="AP635" i="1"/>
  <c r="AO635" i="1"/>
  <c r="BH635" i="1" s="1"/>
  <c r="AK635" i="1"/>
  <c r="AJ635" i="1"/>
  <c r="AH635" i="1"/>
  <c r="AF635" i="1"/>
  <c r="AE635" i="1"/>
  <c r="AD635" i="1"/>
  <c r="AC635" i="1"/>
  <c r="AB635" i="1"/>
  <c r="Z635" i="1"/>
  <c r="J635" i="1"/>
  <c r="AL635" i="1" s="1"/>
  <c r="H635" i="1"/>
  <c r="BJ634" i="1"/>
  <c r="BF634" i="1"/>
  <c r="BD634" i="1"/>
  <c r="AP634" i="1"/>
  <c r="BI634" i="1" s="1"/>
  <c r="AO634" i="1"/>
  <c r="AK634" i="1"/>
  <c r="AJ634" i="1"/>
  <c r="AH634" i="1"/>
  <c r="AG634" i="1"/>
  <c r="AE634" i="1"/>
  <c r="AD634" i="1"/>
  <c r="AC634" i="1"/>
  <c r="AB634" i="1"/>
  <c r="Z634" i="1"/>
  <c r="J634" i="1"/>
  <c r="AL634" i="1" s="1"/>
  <c r="I634" i="1"/>
  <c r="BJ633" i="1"/>
  <c r="BF633" i="1"/>
  <c r="BD633" i="1"/>
  <c r="AP633" i="1"/>
  <c r="AO633" i="1"/>
  <c r="BH633" i="1" s="1"/>
  <c r="AF633" i="1" s="1"/>
  <c r="AK633" i="1"/>
  <c r="AJ633" i="1"/>
  <c r="AH633" i="1"/>
  <c r="AE633" i="1"/>
  <c r="AD633" i="1"/>
  <c r="AC633" i="1"/>
  <c r="AB633" i="1"/>
  <c r="Z633" i="1"/>
  <c r="J633" i="1"/>
  <c r="AL633" i="1" s="1"/>
  <c r="BJ632" i="1"/>
  <c r="BF632" i="1"/>
  <c r="BD632" i="1"/>
  <c r="AP632" i="1"/>
  <c r="BI632" i="1" s="1"/>
  <c r="AG632" i="1" s="1"/>
  <c r="AO632" i="1"/>
  <c r="BH632" i="1" s="1"/>
  <c r="AF632" i="1" s="1"/>
  <c r="AK632" i="1"/>
  <c r="AJ632" i="1"/>
  <c r="AH632" i="1"/>
  <c r="AE632" i="1"/>
  <c r="AD632" i="1"/>
  <c r="AC632" i="1"/>
  <c r="AB632" i="1"/>
  <c r="Z632" i="1"/>
  <c r="J632" i="1"/>
  <c r="AL632" i="1" s="1"/>
  <c r="BJ631" i="1"/>
  <c r="BF631" i="1"/>
  <c r="BD631" i="1"/>
  <c r="AW631" i="1"/>
  <c r="AP631" i="1"/>
  <c r="BI631" i="1" s="1"/>
  <c r="AO631" i="1"/>
  <c r="BH631" i="1" s="1"/>
  <c r="AL631" i="1"/>
  <c r="AK631" i="1"/>
  <c r="AJ631" i="1"/>
  <c r="AH631" i="1"/>
  <c r="AG631" i="1"/>
  <c r="AF631" i="1"/>
  <c r="AE631" i="1"/>
  <c r="AD631" i="1"/>
  <c r="AC631" i="1"/>
  <c r="AB631" i="1"/>
  <c r="Z631" i="1"/>
  <c r="J631" i="1"/>
  <c r="I631" i="1"/>
  <c r="H631" i="1"/>
  <c r="BJ630" i="1"/>
  <c r="BF630" i="1"/>
  <c r="BD630" i="1"/>
  <c r="AP630" i="1"/>
  <c r="BI630" i="1" s="1"/>
  <c r="AG630" i="1" s="1"/>
  <c r="AO630" i="1"/>
  <c r="H630" i="1" s="1"/>
  <c r="AK630" i="1"/>
  <c r="AJ630" i="1"/>
  <c r="AH630" i="1"/>
  <c r="AE630" i="1"/>
  <c r="AD630" i="1"/>
  <c r="AC630" i="1"/>
  <c r="AB630" i="1"/>
  <c r="Z630" i="1"/>
  <c r="J630" i="1"/>
  <c r="AL630" i="1" s="1"/>
  <c r="BJ629" i="1"/>
  <c r="BF629" i="1"/>
  <c r="BD629" i="1"/>
  <c r="AX629" i="1"/>
  <c r="AP629" i="1"/>
  <c r="I629" i="1" s="1"/>
  <c r="AO629" i="1"/>
  <c r="BH629" i="1" s="1"/>
  <c r="AF629" i="1" s="1"/>
  <c r="AK629" i="1"/>
  <c r="AJ629" i="1"/>
  <c r="AH629" i="1"/>
  <c r="AE629" i="1"/>
  <c r="AD629" i="1"/>
  <c r="AC629" i="1"/>
  <c r="AB629" i="1"/>
  <c r="Z629" i="1"/>
  <c r="J629" i="1"/>
  <c r="AL629" i="1" s="1"/>
  <c r="BJ628" i="1"/>
  <c r="BF628" i="1"/>
  <c r="BD628" i="1"/>
  <c r="AW628" i="1"/>
  <c r="AP628" i="1"/>
  <c r="BI628" i="1" s="1"/>
  <c r="AG628" i="1" s="1"/>
  <c r="AO628" i="1"/>
  <c r="BH628" i="1" s="1"/>
  <c r="AF628" i="1" s="1"/>
  <c r="AK628" i="1"/>
  <c r="AJ628" i="1"/>
  <c r="AH628" i="1"/>
  <c r="AE628" i="1"/>
  <c r="AD628" i="1"/>
  <c r="AC628" i="1"/>
  <c r="AB628" i="1"/>
  <c r="Z628" i="1"/>
  <c r="J628" i="1"/>
  <c r="AL628" i="1" s="1"/>
  <c r="H628" i="1"/>
  <c r="BJ627" i="1"/>
  <c r="BF627" i="1"/>
  <c r="BD627" i="1"/>
  <c r="AX627" i="1"/>
  <c r="AP627" i="1"/>
  <c r="BI627" i="1" s="1"/>
  <c r="AO627" i="1"/>
  <c r="BH627" i="1" s="1"/>
  <c r="AF627" i="1" s="1"/>
  <c r="AK627" i="1"/>
  <c r="AJ627" i="1"/>
  <c r="AH627" i="1"/>
  <c r="AG627" i="1"/>
  <c r="AE627" i="1"/>
  <c r="AD627" i="1"/>
  <c r="AC627" i="1"/>
  <c r="AB627" i="1"/>
  <c r="Z627" i="1"/>
  <c r="J627" i="1"/>
  <c r="AL627" i="1" s="1"/>
  <c r="I627" i="1"/>
  <c r="BJ626" i="1"/>
  <c r="BF626" i="1"/>
  <c r="BD626" i="1"/>
  <c r="AX626" i="1"/>
  <c r="AP626" i="1"/>
  <c r="BI626" i="1" s="1"/>
  <c r="AG626" i="1" s="1"/>
  <c r="AO626" i="1"/>
  <c r="H626" i="1" s="1"/>
  <c r="AK626" i="1"/>
  <c r="AJ626" i="1"/>
  <c r="AH626" i="1"/>
  <c r="AE626" i="1"/>
  <c r="AD626" i="1"/>
  <c r="AC626" i="1"/>
  <c r="AB626" i="1"/>
  <c r="Z626" i="1"/>
  <c r="J626" i="1"/>
  <c r="AL626" i="1" s="1"/>
  <c r="BJ625" i="1"/>
  <c r="BH625" i="1"/>
  <c r="AF625" i="1" s="1"/>
  <c r="BF625" i="1"/>
  <c r="BD625" i="1"/>
  <c r="AP625" i="1"/>
  <c r="AO625" i="1"/>
  <c r="AK625" i="1"/>
  <c r="AJ625" i="1"/>
  <c r="AH625" i="1"/>
  <c r="AE625" i="1"/>
  <c r="AD625" i="1"/>
  <c r="AC625" i="1"/>
  <c r="AB625" i="1"/>
  <c r="Z625" i="1"/>
  <c r="J625" i="1"/>
  <c r="AL625" i="1" s="1"/>
  <c r="BJ624" i="1"/>
  <c r="BF624" i="1"/>
  <c r="BD624" i="1"/>
  <c r="AW624" i="1"/>
  <c r="AP624" i="1"/>
  <c r="AO624" i="1"/>
  <c r="BH624" i="1" s="1"/>
  <c r="AF624" i="1" s="1"/>
  <c r="AK624" i="1"/>
  <c r="AJ624" i="1"/>
  <c r="AH624" i="1"/>
  <c r="AE624" i="1"/>
  <c r="AD624" i="1"/>
  <c r="AC624" i="1"/>
  <c r="AB624" i="1"/>
  <c r="Z624" i="1"/>
  <c r="J624" i="1"/>
  <c r="AL624" i="1" s="1"/>
  <c r="H624" i="1"/>
  <c r="BJ623" i="1"/>
  <c r="BF623" i="1"/>
  <c r="BD623" i="1"/>
  <c r="AX623" i="1"/>
  <c r="AP623" i="1"/>
  <c r="BI623" i="1" s="1"/>
  <c r="AG623" i="1" s="1"/>
  <c r="AO623" i="1"/>
  <c r="BH623" i="1" s="1"/>
  <c r="AF623" i="1" s="1"/>
  <c r="AK623" i="1"/>
  <c r="AJ623" i="1"/>
  <c r="AH623" i="1"/>
  <c r="AE623" i="1"/>
  <c r="AD623" i="1"/>
  <c r="AC623" i="1"/>
  <c r="AB623" i="1"/>
  <c r="Z623" i="1"/>
  <c r="J623" i="1"/>
  <c r="AL623" i="1" s="1"/>
  <c r="I623" i="1"/>
  <c r="H623" i="1"/>
  <c r="BJ622" i="1"/>
  <c r="BH622" i="1"/>
  <c r="AF622" i="1" s="1"/>
  <c r="BF622" i="1"/>
  <c r="BD622" i="1"/>
  <c r="AX622" i="1"/>
  <c r="AW622" i="1"/>
  <c r="AP622" i="1"/>
  <c r="BI622" i="1" s="1"/>
  <c r="AG622" i="1" s="1"/>
  <c r="AO622" i="1"/>
  <c r="H622" i="1" s="1"/>
  <c r="AL622" i="1"/>
  <c r="AK622" i="1"/>
  <c r="AJ622" i="1"/>
  <c r="AH622" i="1"/>
  <c r="AE622" i="1"/>
  <c r="AD622" i="1"/>
  <c r="AC622" i="1"/>
  <c r="AB622" i="1"/>
  <c r="Z622" i="1"/>
  <c r="J622" i="1"/>
  <c r="I622" i="1"/>
  <c r="BJ621" i="1"/>
  <c r="BF621" i="1"/>
  <c r="BD621" i="1"/>
  <c r="AP621" i="1"/>
  <c r="AO621" i="1"/>
  <c r="AK621" i="1"/>
  <c r="AJ621" i="1"/>
  <c r="AH621" i="1"/>
  <c r="AE621" i="1"/>
  <c r="AD621" i="1"/>
  <c r="AC621" i="1"/>
  <c r="AB621" i="1"/>
  <c r="Z621" i="1"/>
  <c r="J621" i="1"/>
  <c r="AL621" i="1" s="1"/>
  <c r="BJ620" i="1"/>
  <c r="BF620" i="1"/>
  <c r="BD620" i="1"/>
  <c r="AW620" i="1"/>
  <c r="AP620" i="1"/>
  <c r="BI620" i="1" s="1"/>
  <c r="AG620" i="1" s="1"/>
  <c r="AO620" i="1"/>
  <c r="BH620" i="1" s="1"/>
  <c r="AF620" i="1" s="1"/>
  <c r="AK620" i="1"/>
  <c r="AJ620" i="1"/>
  <c r="AH620" i="1"/>
  <c r="AE620" i="1"/>
  <c r="AD620" i="1"/>
  <c r="AC620" i="1"/>
  <c r="AB620" i="1"/>
  <c r="Z620" i="1"/>
  <c r="J620" i="1"/>
  <c r="AL620" i="1" s="1"/>
  <c r="H620" i="1"/>
  <c r="BJ619" i="1"/>
  <c r="BF619" i="1"/>
  <c r="BD619" i="1"/>
  <c r="AX619" i="1"/>
  <c r="AW619" i="1"/>
  <c r="AV619" i="1" s="1"/>
  <c r="AP619" i="1"/>
  <c r="BI619" i="1" s="1"/>
  <c r="AG619" i="1" s="1"/>
  <c r="AO619" i="1"/>
  <c r="BH619" i="1" s="1"/>
  <c r="AL619" i="1"/>
  <c r="AK619" i="1"/>
  <c r="AJ619" i="1"/>
  <c r="AH619" i="1"/>
  <c r="AF619" i="1"/>
  <c r="AE619" i="1"/>
  <c r="AD619" i="1"/>
  <c r="AC619" i="1"/>
  <c r="AB619" i="1"/>
  <c r="Z619" i="1"/>
  <c r="J619" i="1"/>
  <c r="H619" i="1"/>
  <c r="BJ618" i="1"/>
  <c r="BF618" i="1"/>
  <c r="BD618" i="1"/>
  <c r="AX618" i="1"/>
  <c r="AP618" i="1"/>
  <c r="BI618" i="1" s="1"/>
  <c r="AG618" i="1" s="1"/>
  <c r="AO618" i="1"/>
  <c r="AL618" i="1"/>
  <c r="AK618" i="1"/>
  <c r="AJ618" i="1"/>
  <c r="AH618" i="1"/>
  <c r="AE618" i="1"/>
  <c r="AD618" i="1"/>
  <c r="AC618" i="1"/>
  <c r="AB618" i="1"/>
  <c r="Z618" i="1"/>
  <c r="J618" i="1"/>
  <c r="I618" i="1"/>
  <c r="BJ617" i="1"/>
  <c r="BF617" i="1"/>
  <c r="BD617" i="1"/>
  <c r="AP617" i="1"/>
  <c r="AO617" i="1"/>
  <c r="BH617" i="1" s="1"/>
  <c r="AF617" i="1" s="1"/>
  <c r="AK617" i="1"/>
  <c r="AJ617" i="1"/>
  <c r="AH617" i="1"/>
  <c r="AE617" i="1"/>
  <c r="AD617" i="1"/>
  <c r="AC617" i="1"/>
  <c r="AB617" i="1"/>
  <c r="Z617" i="1"/>
  <c r="J617" i="1"/>
  <c r="AL617" i="1" s="1"/>
  <c r="BJ616" i="1"/>
  <c r="BF616" i="1"/>
  <c r="BD616" i="1"/>
  <c r="AP616" i="1"/>
  <c r="BI616" i="1" s="1"/>
  <c r="AG616" i="1" s="1"/>
  <c r="AO616" i="1"/>
  <c r="H616" i="1" s="1"/>
  <c r="AK616" i="1"/>
  <c r="AJ616" i="1"/>
  <c r="AH616" i="1"/>
  <c r="AE616" i="1"/>
  <c r="AD616" i="1"/>
  <c r="AC616" i="1"/>
  <c r="AB616" i="1"/>
  <c r="Z616" i="1"/>
  <c r="J616" i="1"/>
  <c r="AL616" i="1" s="1"/>
  <c r="BJ615" i="1"/>
  <c r="BF615" i="1"/>
  <c r="BD615" i="1"/>
  <c r="AX615" i="1"/>
  <c r="AP615" i="1"/>
  <c r="BI615" i="1" s="1"/>
  <c r="AO615" i="1"/>
  <c r="BH615" i="1" s="1"/>
  <c r="AK615" i="1"/>
  <c r="AJ615" i="1"/>
  <c r="AH615" i="1"/>
  <c r="AG615" i="1"/>
  <c r="AF615" i="1"/>
  <c r="AE615" i="1"/>
  <c r="AD615" i="1"/>
  <c r="AC615" i="1"/>
  <c r="AB615" i="1"/>
  <c r="Z615" i="1"/>
  <c r="J615" i="1"/>
  <c r="AL615" i="1" s="1"/>
  <c r="H615" i="1"/>
  <c r="BJ614" i="1"/>
  <c r="BF614" i="1"/>
  <c r="BD614" i="1"/>
  <c r="AX614" i="1"/>
  <c r="AP614" i="1"/>
  <c r="BI614" i="1" s="1"/>
  <c r="AG614" i="1" s="1"/>
  <c r="AO614" i="1"/>
  <c r="H614" i="1" s="1"/>
  <c r="AK614" i="1"/>
  <c r="AJ614" i="1"/>
  <c r="AH614" i="1"/>
  <c r="AE614" i="1"/>
  <c r="AD614" i="1"/>
  <c r="AC614" i="1"/>
  <c r="AB614" i="1"/>
  <c r="Z614" i="1"/>
  <c r="J614" i="1"/>
  <c r="AL614" i="1" s="1"/>
  <c r="I614" i="1"/>
  <c r="BJ613" i="1"/>
  <c r="BH613" i="1"/>
  <c r="AF613" i="1" s="1"/>
  <c r="BF613" i="1"/>
  <c r="BD613" i="1"/>
  <c r="AP613" i="1"/>
  <c r="I613" i="1" s="1"/>
  <c r="AO613" i="1"/>
  <c r="AK613" i="1"/>
  <c r="AJ613" i="1"/>
  <c r="AH613" i="1"/>
  <c r="AE613" i="1"/>
  <c r="AD613" i="1"/>
  <c r="AC613" i="1"/>
  <c r="AB613" i="1"/>
  <c r="Z613" i="1"/>
  <c r="J613" i="1"/>
  <c r="AL613" i="1" s="1"/>
  <c r="BJ612" i="1"/>
  <c r="BF612" i="1"/>
  <c r="BD612" i="1"/>
  <c r="AP612" i="1"/>
  <c r="BI612" i="1" s="1"/>
  <c r="AG612" i="1" s="1"/>
  <c r="AO612" i="1"/>
  <c r="AL612" i="1"/>
  <c r="AK612" i="1"/>
  <c r="AJ612" i="1"/>
  <c r="AH612" i="1"/>
  <c r="AE612" i="1"/>
  <c r="AD612" i="1"/>
  <c r="AC612" i="1"/>
  <c r="AB612" i="1"/>
  <c r="Z612" i="1"/>
  <c r="J612" i="1"/>
  <c r="H612" i="1"/>
  <c r="BJ611" i="1"/>
  <c r="BF611" i="1"/>
  <c r="BD611" i="1"/>
  <c r="AW611" i="1"/>
  <c r="AP611" i="1"/>
  <c r="BI611" i="1" s="1"/>
  <c r="AO611" i="1"/>
  <c r="BH611" i="1" s="1"/>
  <c r="AF611" i="1" s="1"/>
  <c r="AL611" i="1"/>
  <c r="AK611" i="1"/>
  <c r="AJ611" i="1"/>
  <c r="AH611" i="1"/>
  <c r="AG611" i="1"/>
  <c r="AE611" i="1"/>
  <c r="AD611" i="1"/>
  <c r="AC611" i="1"/>
  <c r="AB611" i="1"/>
  <c r="Z611" i="1"/>
  <c r="J611" i="1"/>
  <c r="H611" i="1"/>
  <c r="BJ610" i="1"/>
  <c r="BH610" i="1"/>
  <c r="AF610" i="1" s="1"/>
  <c r="BF610" i="1"/>
  <c r="BD610" i="1"/>
  <c r="AX610" i="1"/>
  <c r="AW610" i="1"/>
  <c r="AP610" i="1"/>
  <c r="BI610" i="1" s="1"/>
  <c r="AG610" i="1" s="1"/>
  <c r="AO610" i="1"/>
  <c r="H610" i="1" s="1"/>
  <c r="AK610" i="1"/>
  <c r="AJ610" i="1"/>
  <c r="AH610" i="1"/>
  <c r="AE610" i="1"/>
  <c r="AD610" i="1"/>
  <c r="AC610" i="1"/>
  <c r="AB610" i="1"/>
  <c r="Z610" i="1"/>
  <c r="J610" i="1"/>
  <c r="AL610" i="1" s="1"/>
  <c r="I610" i="1"/>
  <c r="BJ608" i="1"/>
  <c r="Z608" i="1" s="1"/>
  <c r="BF608" i="1"/>
  <c r="BD608" i="1"/>
  <c r="AW608" i="1"/>
  <c r="AP608" i="1"/>
  <c r="BI608" i="1" s="1"/>
  <c r="AO608" i="1"/>
  <c r="BH608" i="1" s="1"/>
  <c r="AL608" i="1"/>
  <c r="AK608" i="1"/>
  <c r="AJ608" i="1"/>
  <c r="AH608" i="1"/>
  <c r="AG608" i="1"/>
  <c r="AF608" i="1"/>
  <c r="AE608" i="1"/>
  <c r="AD608" i="1"/>
  <c r="AC608" i="1"/>
  <c r="AB608" i="1"/>
  <c r="J608" i="1"/>
  <c r="H608" i="1"/>
  <c r="BJ607" i="1"/>
  <c r="BH607" i="1"/>
  <c r="AD607" i="1" s="1"/>
  <c r="BF607" i="1"/>
  <c r="BD607" i="1"/>
  <c r="AW607" i="1"/>
  <c r="AP607" i="1"/>
  <c r="BI607" i="1" s="1"/>
  <c r="AE607" i="1" s="1"/>
  <c r="AO607" i="1"/>
  <c r="H607" i="1" s="1"/>
  <c r="AK607" i="1"/>
  <c r="AJ607" i="1"/>
  <c r="AH607" i="1"/>
  <c r="AG607" i="1"/>
  <c r="AF607" i="1"/>
  <c r="AC607" i="1"/>
  <c r="AB607" i="1"/>
  <c r="Z607" i="1"/>
  <c r="J607" i="1"/>
  <c r="AL607" i="1" s="1"/>
  <c r="BJ606" i="1"/>
  <c r="BI606" i="1"/>
  <c r="AE606" i="1" s="1"/>
  <c r="BF606" i="1"/>
  <c r="BD606" i="1"/>
  <c r="AX606" i="1"/>
  <c r="AP606" i="1"/>
  <c r="I606" i="1" s="1"/>
  <c r="AO606" i="1"/>
  <c r="BH606" i="1" s="1"/>
  <c r="AD606" i="1" s="1"/>
  <c r="AK606" i="1"/>
  <c r="AJ606" i="1"/>
  <c r="AH606" i="1"/>
  <c r="AG606" i="1"/>
  <c r="AF606" i="1"/>
  <c r="AC606" i="1"/>
  <c r="AB606" i="1"/>
  <c r="Z606" i="1"/>
  <c r="J606" i="1"/>
  <c r="AL606" i="1" s="1"/>
  <c r="BJ605" i="1"/>
  <c r="BF605" i="1"/>
  <c r="BD605" i="1"/>
  <c r="AW605" i="1"/>
  <c r="AP605" i="1"/>
  <c r="BI605" i="1" s="1"/>
  <c r="AE605" i="1" s="1"/>
  <c r="AO605" i="1"/>
  <c r="BH605" i="1" s="1"/>
  <c r="AD605" i="1" s="1"/>
  <c r="AK605" i="1"/>
  <c r="AJ605" i="1"/>
  <c r="AH605" i="1"/>
  <c r="AG605" i="1"/>
  <c r="AF605" i="1"/>
  <c r="AC605" i="1"/>
  <c r="AB605" i="1"/>
  <c r="Z605" i="1"/>
  <c r="J605" i="1"/>
  <c r="AL605" i="1" s="1"/>
  <c r="BJ604" i="1"/>
  <c r="BF604" i="1"/>
  <c r="BD604" i="1"/>
  <c r="AX604" i="1"/>
  <c r="AP604" i="1"/>
  <c r="BI604" i="1" s="1"/>
  <c r="AE604" i="1" s="1"/>
  <c r="AO604" i="1"/>
  <c r="AK604" i="1"/>
  <c r="AJ604" i="1"/>
  <c r="AH604" i="1"/>
  <c r="AG604" i="1"/>
  <c r="AF604" i="1"/>
  <c r="AC604" i="1"/>
  <c r="AB604" i="1"/>
  <c r="Z604" i="1"/>
  <c r="J604" i="1"/>
  <c r="AL604" i="1" s="1"/>
  <c r="I604" i="1"/>
  <c r="BJ603" i="1"/>
  <c r="BH603" i="1"/>
  <c r="AD603" i="1" s="1"/>
  <c r="BF603" i="1"/>
  <c r="BD603" i="1"/>
  <c r="AW603" i="1"/>
  <c r="AP603" i="1"/>
  <c r="BI603" i="1" s="1"/>
  <c r="AE603" i="1" s="1"/>
  <c r="AO603" i="1"/>
  <c r="H603" i="1" s="1"/>
  <c r="AK603" i="1"/>
  <c r="AJ603" i="1"/>
  <c r="AH603" i="1"/>
  <c r="AG603" i="1"/>
  <c r="AF603" i="1"/>
  <c r="AC603" i="1"/>
  <c r="AB603" i="1"/>
  <c r="Z603" i="1"/>
  <c r="J603" i="1"/>
  <c r="AL603" i="1" s="1"/>
  <c r="I603" i="1"/>
  <c r="BJ601" i="1"/>
  <c r="BF601" i="1"/>
  <c r="BD601" i="1"/>
  <c r="AW601" i="1"/>
  <c r="AP601" i="1"/>
  <c r="AO601" i="1"/>
  <c r="BH601" i="1" s="1"/>
  <c r="AD601" i="1" s="1"/>
  <c r="AK601" i="1"/>
  <c r="AJ601" i="1"/>
  <c r="AH601" i="1"/>
  <c r="AG601" i="1"/>
  <c r="AF601" i="1"/>
  <c r="AC601" i="1"/>
  <c r="AB601" i="1"/>
  <c r="Z601" i="1"/>
  <c r="J601" i="1"/>
  <c r="AL601" i="1" s="1"/>
  <c r="I601" i="1"/>
  <c r="H601" i="1"/>
  <c r="BJ600" i="1"/>
  <c r="BH600" i="1"/>
  <c r="AD600" i="1" s="1"/>
  <c r="BF600" i="1"/>
  <c r="BD600" i="1"/>
  <c r="AP600" i="1"/>
  <c r="AO600" i="1"/>
  <c r="H600" i="1" s="1"/>
  <c r="AK600" i="1"/>
  <c r="AJ600" i="1"/>
  <c r="AH600" i="1"/>
  <c r="AG600" i="1"/>
  <c r="AF600" i="1"/>
  <c r="AC600" i="1"/>
  <c r="AB600" i="1"/>
  <c r="Z600" i="1"/>
  <c r="J600" i="1"/>
  <c r="AL600" i="1" s="1"/>
  <c r="BJ599" i="1"/>
  <c r="BH599" i="1"/>
  <c r="AD599" i="1" s="1"/>
  <c r="BF599" i="1"/>
  <c r="BD599" i="1"/>
  <c r="AP599" i="1"/>
  <c r="I599" i="1" s="1"/>
  <c r="AO599" i="1"/>
  <c r="AK599" i="1"/>
  <c r="AJ599" i="1"/>
  <c r="AH599" i="1"/>
  <c r="AG599" i="1"/>
  <c r="AF599" i="1"/>
  <c r="AC599" i="1"/>
  <c r="AB599" i="1"/>
  <c r="Z599" i="1"/>
  <c r="J599" i="1"/>
  <c r="AL599" i="1" s="1"/>
  <c r="BJ598" i="1"/>
  <c r="BF598" i="1"/>
  <c r="BD598" i="1"/>
  <c r="AW598" i="1"/>
  <c r="AP598" i="1"/>
  <c r="BI598" i="1" s="1"/>
  <c r="AE598" i="1" s="1"/>
  <c r="AO598" i="1"/>
  <c r="BH598" i="1" s="1"/>
  <c r="AD598" i="1" s="1"/>
  <c r="AL598" i="1"/>
  <c r="AK598" i="1"/>
  <c r="AJ598" i="1"/>
  <c r="AH598" i="1"/>
  <c r="AG598" i="1"/>
  <c r="AF598" i="1"/>
  <c r="AC598" i="1"/>
  <c r="AB598" i="1"/>
  <c r="Z598" i="1"/>
  <c r="J598" i="1"/>
  <c r="H598" i="1"/>
  <c r="BJ597" i="1"/>
  <c r="BF597" i="1"/>
  <c r="BD597" i="1"/>
  <c r="AX597" i="1"/>
  <c r="AW597" i="1"/>
  <c r="AP597" i="1"/>
  <c r="BI597" i="1" s="1"/>
  <c r="AE597" i="1" s="1"/>
  <c r="AO597" i="1"/>
  <c r="BH597" i="1" s="1"/>
  <c r="AD597" i="1" s="1"/>
  <c r="AK597" i="1"/>
  <c r="AJ597" i="1"/>
  <c r="AH597" i="1"/>
  <c r="AG597" i="1"/>
  <c r="AF597" i="1"/>
  <c r="AC597" i="1"/>
  <c r="AB597" i="1"/>
  <c r="Z597" i="1"/>
  <c r="J597" i="1"/>
  <c r="AL597" i="1" s="1"/>
  <c r="H597" i="1"/>
  <c r="BJ596" i="1"/>
  <c r="BH596" i="1"/>
  <c r="AD596" i="1" s="1"/>
  <c r="BF596" i="1"/>
  <c r="BD596" i="1"/>
  <c r="AW596" i="1"/>
  <c r="AP596" i="1"/>
  <c r="AO596" i="1"/>
  <c r="H596" i="1" s="1"/>
  <c r="AL596" i="1"/>
  <c r="AK596" i="1"/>
  <c r="AJ596" i="1"/>
  <c r="AH596" i="1"/>
  <c r="AG596" i="1"/>
  <c r="AF596" i="1"/>
  <c r="AC596" i="1"/>
  <c r="AB596" i="1"/>
  <c r="Z596" i="1"/>
  <c r="J596" i="1"/>
  <c r="I596" i="1"/>
  <c r="BJ595" i="1"/>
  <c r="BI595" i="1"/>
  <c r="AE595" i="1" s="1"/>
  <c r="BF595" i="1"/>
  <c r="BD595" i="1"/>
  <c r="AP595" i="1"/>
  <c r="I595" i="1" s="1"/>
  <c r="AO595" i="1"/>
  <c r="AK595" i="1"/>
  <c r="AJ595" i="1"/>
  <c r="AH595" i="1"/>
  <c r="AG595" i="1"/>
  <c r="AF595" i="1"/>
  <c r="AC595" i="1"/>
  <c r="AB595" i="1"/>
  <c r="Z595" i="1"/>
  <c r="J595" i="1"/>
  <c r="AL595" i="1" s="1"/>
  <c r="BJ594" i="1"/>
  <c r="BF594" i="1"/>
  <c r="BD594" i="1"/>
  <c r="AW594" i="1"/>
  <c r="AP594" i="1"/>
  <c r="BI594" i="1" s="1"/>
  <c r="AE594" i="1" s="1"/>
  <c r="AO594" i="1"/>
  <c r="BH594" i="1" s="1"/>
  <c r="AD594" i="1" s="1"/>
  <c r="AL594" i="1"/>
  <c r="AK594" i="1"/>
  <c r="AJ594" i="1"/>
  <c r="AH594" i="1"/>
  <c r="AG594" i="1"/>
  <c r="AF594" i="1"/>
  <c r="AC594" i="1"/>
  <c r="AB594" i="1"/>
  <c r="Z594" i="1"/>
  <c r="J594" i="1"/>
  <c r="H594" i="1"/>
  <c r="BJ593" i="1"/>
  <c r="BF593" i="1"/>
  <c r="BD593" i="1"/>
  <c r="AX593" i="1"/>
  <c r="AV593" i="1" s="1"/>
  <c r="AW593" i="1"/>
  <c r="AP593" i="1"/>
  <c r="BI593" i="1" s="1"/>
  <c r="AE593" i="1" s="1"/>
  <c r="AO593" i="1"/>
  <c r="BH593" i="1" s="1"/>
  <c r="AD593" i="1" s="1"/>
  <c r="AK593" i="1"/>
  <c r="AJ593" i="1"/>
  <c r="AH593" i="1"/>
  <c r="AG593" i="1"/>
  <c r="AF593" i="1"/>
  <c r="AC593" i="1"/>
  <c r="AB593" i="1"/>
  <c r="Z593" i="1"/>
  <c r="J593" i="1"/>
  <c r="AL593" i="1" s="1"/>
  <c r="I593" i="1"/>
  <c r="H593" i="1"/>
  <c r="BJ592" i="1"/>
  <c r="BF592" i="1"/>
  <c r="BD592" i="1"/>
  <c r="AX592" i="1"/>
  <c r="AP592" i="1"/>
  <c r="BI592" i="1" s="1"/>
  <c r="AE592" i="1" s="1"/>
  <c r="AO592" i="1"/>
  <c r="AK592" i="1"/>
  <c r="AJ592" i="1"/>
  <c r="AH592" i="1"/>
  <c r="AG592" i="1"/>
  <c r="AF592" i="1"/>
  <c r="AC592" i="1"/>
  <c r="AB592" i="1"/>
  <c r="Z592" i="1"/>
  <c r="J592" i="1"/>
  <c r="AL592" i="1" s="1"/>
  <c r="I592" i="1"/>
  <c r="BJ591" i="1"/>
  <c r="BF591" i="1"/>
  <c r="BD591" i="1"/>
  <c r="AP591" i="1"/>
  <c r="AO591" i="1"/>
  <c r="BH591" i="1" s="1"/>
  <c r="AD591" i="1" s="1"/>
  <c r="AK591" i="1"/>
  <c r="AJ591" i="1"/>
  <c r="AH591" i="1"/>
  <c r="AG591" i="1"/>
  <c r="AF591" i="1"/>
  <c r="AC591" i="1"/>
  <c r="AB591" i="1"/>
  <c r="Z591" i="1"/>
  <c r="J591" i="1"/>
  <c r="BJ589" i="1"/>
  <c r="BF589" i="1"/>
  <c r="BD589" i="1"/>
  <c r="AP589" i="1"/>
  <c r="BI589" i="1" s="1"/>
  <c r="AE589" i="1" s="1"/>
  <c r="AO589" i="1"/>
  <c r="AK589" i="1"/>
  <c r="AJ589" i="1"/>
  <c r="AH589" i="1"/>
  <c r="AG589" i="1"/>
  <c r="AF589" i="1"/>
  <c r="AC589" i="1"/>
  <c r="AB589" i="1"/>
  <c r="Z589" i="1"/>
  <c r="J589" i="1"/>
  <c r="AL589" i="1" s="1"/>
  <c r="I589" i="1"/>
  <c r="BJ588" i="1"/>
  <c r="BF588" i="1"/>
  <c r="BD588" i="1"/>
  <c r="AP588" i="1"/>
  <c r="AO588" i="1"/>
  <c r="BH588" i="1" s="1"/>
  <c r="AK588" i="1"/>
  <c r="AJ588" i="1"/>
  <c r="AH588" i="1"/>
  <c r="AG588" i="1"/>
  <c r="AF588" i="1"/>
  <c r="AD588" i="1"/>
  <c r="AC588" i="1"/>
  <c r="AB588" i="1"/>
  <c r="Z588" i="1"/>
  <c r="J588" i="1"/>
  <c r="AL588" i="1" s="1"/>
  <c r="BJ587" i="1"/>
  <c r="BF587" i="1"/>
  <c r="BD587" i="1"/>
  <c r="AP587" i="1"/>
  <c r="BI587" i="1" s="1"/>
  <c r="AE587" i="1" s="1"/>
  <c r="AO587" i="1"/>
  <c r="BH587" i="1" s="1"/>
  <c r="AD587" i="1" s="1"/>
  <c r="AK587" i="1"/>
  <c r="AJ587" i="1"/>
  <c r="AH587" i="1"/>
  <c r="AG587" i="1"/>
  <c r="AF587" i="1"/>
  <c r="AC587" i="1"/>
  <c r="AB587" i="1"/>
  <c r="Z587" i="1"/>
  <c r="J587" i="1"/>
  <c r="AL587" i="1" s="1"/>
  <c r="BJ586" i="1"/>
  <c r="BF586" i="1"/>
  <c r="BD586" i="1"/>
  <c r="AW586" i="1"/>
  <c r="AP586" i="1"/>
  <c r="BI586" i="1" s="1"/>
  <c r="AE586" i="1" s="1"/>
  <c r="AO586" i="1"/>
  <c r="BH586" i="1" s="1"/>
  <c r="AD586" i="1" s="1"/>
  <c r="AK586" i="1"/>
  <c r="AJ586" i="1"/>
  <c r="AH586" i="1"/>
  <c r="AG586" i="1"/>
  <c r="AF586" i="1"/>
  <c r="AC586" i="1"/>
  <c r="AB586" i="1"/>
  <c r="Z586" i="1"/>
  <c r="J586" i="1"/>
  <c r="AL586" i="1" s="1"/>
  <c r="I586" i="1"/>
  <c r="H586" i="1"/>
  <c r="BJ585" i="1"/>
  <c r="BF585" i="1"/>
  <c r="BD585" i="1"/>
  <c r="AP585" i="1"/>
  <c r="AO585" i="1"/>
  <c r="AK585" i="1"/>
  <c r="AJ585" i="1"/>
  <c r="AH585" i="1"/>
  <c r="AG585" i="1"/>
  <c r="AF585" i="1"/>
  <c r="AC585" i="1"/>
  <c r="AB585" i="1"/>
  <c r="Z585" i="1"/>
  <c r="J585" i="1"/>
  <c r="AL585" i="1" s="1"/>
  <c r="BJ584" i="1"/>
  <c r="BI584" i="1"/>
  <c r="AE584" i="1" s="1"/>
  <c r="BF584" i="1"/>
  <c r="BD584" i="1"/>
  <c r="AX584" i="1"/>
  <c r="AP584" i="1"/>
  <c r="I584" i="1" s="1"/>
  <c r="AO584" i="1"/>
  <c r="BH584" i="1" s="1"/>
  <c r="AK584" i="1"/>
  <c r="AJ584" i="1"/>
  <c r="AH584" i="1"/>
  <c r="AG584" i="1"/>
  <c r="AF584" i="1"/>
  <c r="AD584" i="1"/>
  <c r="AC584" i="1"/>
  <c r="AB584" i="1"/>
  <c r="Z584" i="1"/>
  <c r="J584" i="1"/>
  <c r="AL584" i="1" s="1"/>
  <c r="BJ583" i="1"/>
  <c r="BI583" i="1"/>
  <c r="BF583" i="1"/>
  <c r="BD583" i="1"/>
  <c r="AP583" i="1"/>
  <c r="AO583" i="1"/>
  <c r="AK583" i="1"/>
  <c r="AJ583" i="1"/>
  <c r="AH583" i="1"/>
  <c r="AG583" i="1"/>
  <c r="AF583" i="1"/>
  <c r="AE583" i="1"/>
  <c r="AC583" i="1"/>
  <c r="AB583" i="1"/>
  <c r="Z583" i="1"/>
  <c r="J583" i="1"/>
  <c r="AL583" i="1" s="1"/>
  <c r="BJ582" i="1"/>
  <c r="BF582" i="1"/>
  <c r="BD582" i="1"/>
  <c r="AP582" i="1"/>
  <c r="BI582" i="1" s="1"/>
  <c r="AE582" i="1" s="1"/>
  <c r="AO582" i="1"/>
  <c r="BH582" i="1" s="1"/>
  <c r="AD582" i="1" s="1"/>
  <c r="AL582" i="1"/>
  <c r="AK582" i="1"/>
  <c r="AJ582" i="1"/>
  <c r="AH582" i="1"/>
  <c r="AG582" i="1"/>
  <c r="AF582" i="1"/>
  <c r="AC582" i="1"/>
  <c r="AB582" i="1"/>
  <c r="Z582" i="1"/>
  <c r="J582" i="1"/>
  <c r="I582" i="1"/>
  <c r="H582" i="1"/>
  <c r="BJ581" i="1"/>
  <c r="BF581" i="1"/>
  <c r="BD581" i="1"/>
  <c r="AP581" i="1"/>
  <c r="AO581" i="1"/>
  <c r="AL581" i="1"/>
  <c r="AK581" i="1"/>
  <c r="AJ581" i="1"/>
  <c r="AH581" i="1"/>
  <c r="AG581" i="1"/>
  <c r="AF581" i="1"/>
  <c r="AC581" i="1"/>
  <c r="AB581" i="1"/>
  <c r="Z581" i="1"/>
  <c r="J581" i="1"/>
  <c r="I581" i="1"/>
  <c r="BJ580" i="1"/>
  <c r="BF580" i="1"/>
  <c r="BD580" i="1"/>
  <c r="AP580" i="1"/>
  <c r="AO580" i="1"/>
  <c r="BH580" i="1" s="1"/>
  <c r="AD580" i="1" s="1"/>
  <c r="AK580" i="1"/>
  <c r="AJ580" i="1"/>
  <c r="AH580" i="1"/>
  <c r="AG580" i="1"/>
  <c r="AF580" i="1"/>
  <c r="AC580" i="1"/>
  <c r="AB580" i="1"/>
  <c r="Z580" i="1"/>
  <c r="J580" i="1"/>
  <c r="BJ579" i="1"/>
  <c r="BF579" i="1"/>
  <c r="BD579" i="1"/>
  <c r="AP579" i="1"/>
  <c r="BI579" i="1" s="1"/>
  <c r="AE579" i="1" s="1"/>
  <c r="AO579" i="1"/>
  <c r="BH579" i="1" s="1"/>
  <c r="AD579" i="1" s="1"/>
  <c r="AK579" i="1"/>
  <c r="AJ579" i="1"/>
  <c r="AH579" i="1"/>
  <c r="AG579" i="1"/>
  <c r="AF579" i="1"/>
  <c r="AC579" i="1"/>
  <c r="AB579" i="1"/>
  <c r="Z579" i="1"/>
  <c r="J579" i="1"/>
  <c r="AL579" i="1" s="1"/>
  <c r="H579" i="1"/>
  <c r="BJ577" i="1"/>
  <c r="BF577" i="1"/>
  <c r="BD577" i="1"/>
  <c r="AP577" i="1"/>
  <c r="AO577" i="1"/>
  <c r="BH577" i="1" s="1"/>
  <c r="AK577" i="1"/>
  <c r="AJ577" i="1"/>
  <c r="AH577" i="1"/>
  <c r="AG577" i="1"/>
  <c r="AF577" i="1"/>
  <c r="AE577" i="1"/>
  <c r="AD577" i="1"/>
  <c r="AC577" i="1"/>
  <c r="AB577" i="1"/>
  <c r="Z577" i="1"/>
  <c r="J577" i="1"/>
  <c r="AL577" i="1" s="1"/>
  <c r="BJ576" i="1"/>
  <c r="BF576" i="1"/>
  <c r="BD576" i="1"/>
  <c r="AP576" i="1"/>
  <c r="BI576" i="1" s="1"/>
  <c r="AE576" i="1" s="1"/>
  <c r="AO576" i="1"/>
  <c r="BH576" i="1" s="1"/>
  <c r="AD576" i="1" s="1"/>
  <c r="AK576" i="1"/>
  <c r="AJ576" i="1"/>
  <c r="AH576" i="1"/>
  <c r="AG576" i="1"/>
  <c r="AF576" i="1"/>
  <c r="AC576" i="1"/>
  <c r="AB576" i="1"/>
  <c r="Z576" i="1"/>
  <c r="J576" i="1"/>
  <c r="AL576" i="1" s="1"/>
  <c r="H576" i="1"/>
  <c r="BJ575" i="1"/>
  <c r="BF575" i="1"/>
  <c r="BD575" i="1"/>
  <c r="AW575" i="1"/>
  <c r="AP575" i="1"/>
  <c r="BI575" i="1" s="1"/>
  <c r="AE575" i="1" s="1"/>
  <c r="AO575" i="1"/>
  <c r="BH575" i="1" s="1"/>
  <c r="AD575" i="1" s="1"/>
  <c r="AK575" i="1"/>
  <c r="AJ575" i="1"/>
  <c r="AH575" i="1"/>
  <c r="AG575" i="1"/>
  <c r="AF575" i="1"/>
  <c r="AC575" i="1"/>
  <c r="AB575" i="1"/>
  <c r="Z575" i="1"/>
  <c r="J575" i="1"/>
  <c r="AL575" i="1" s="1"/>
  <c r="I575" i="1"/>
  <c r="H575" i="1"/>
  <c r="BJ574" i="1"/>
  <c r="BF574" i="1"/>
  <c r="BD574" i="1"/>
  <c r="AP574" i="1"/>
  <c r="BI574" i="1" s="1"/>
  <c r="AE574" i="1" s="1"/>
  <c r="AO574" i="1"/>
  <c r="AK574" i="1"/>
  <c r="AJ574" i="1"/>
  <c r="AH574" i="1"/>
  <c r="AG574" i="1"/>
  <c r="AF574" i="1"/>
  <c r="AC574" i="1"/>
  <c r="AB574" i="1"/>
  <c r="Z574" i="1"/>
  <c r="J574" i="1"/>
  <c r="AL574" i="1" s="1"/>
  <c r="I574" i="1"/>
  <c r="BJ573" i="1"/>
  <c r="BF573" i="1"/>
  <c r="BD573" i="1"/>
  <c r="AP573" i="1"/>
  <c r="AO573" i="1"/>
  <c r="BH573" i="1" s="1"/>
  <c r="AD573" i="1" s="1"/>
  <c r="AK573" i="1"/>
  <c r="AJ573" i="1"/>
  <c r="AH573" i="1"/>
  <c r="AG573" i="1"/>
  <c r="AF573" i="1"/>
  <c r="AC573" i="1"/>
  <c r="AB573" i="1"/>
  <c r="Z573" i="1"/>
  <c r="J573" i="1"/>
  <c r="AL573" i="1" s="1"/>
  <c r="BJ572" i="1"/>
  <c r="BF572" i="1"/>
  <c r="BD572" i="1"/>
  <c r="AP572" i="1"/>
  <c r="BI572" i="1" s="1"/>
  <c r="AE572" i="1" s="1"/>
  <c r="AO572" i="1"/>
  <c r="BH572" i="1" s="1"/>
  <c r="AD572" i="1" s="1"/>
  <c r="AK572" i="1"/>
  <c r="AJ572" i="1"/>
  <c r="AH572" i="1"/>
  <c r="AG572" i="1"/>
  <c r="AF572" i="1"/>
  <c r="AC572" i="1"/>
  <c r="AB572" i="1"/>
  <c r="Z572" i="1"/>
  <c r="J572" i="1"/>
  <c r="AL572" i="1" s="1"/>
  <c r="BJ571" i="1"/>
  <c r="BF571" i="1"/>
  <c r="BD571" i="1"/>
  <c r="AW571" i="1"/>
  <c r="AP571" i="1"/>
  <c r="BI571" i="1" s="1"/>
  <c r="AE571" i="1" s="1"/>
  <c r="AO571" i="1"/>
  <c r="BH571" i="1" s="1"/>
  <c r="AD571" i="1" s="1"/>
  <c r="AK571" i="1"/>
  <c r="AJ571" i="1"/>
  <c r="AH571" i="1"/>
  <c r="AG571" i="1"/>
  <c r="AF571" i="1"/>
  <c r="AC571" i="1"/>
  <c r="AB571" i="1"/>
  <c r="Z571" i="1"/>
  <c r="J571" i="1"/>
  <c r="AL571" i="1" s="1"/>
  <c r="I571" i="1"/>
  <c r="H571" i="1"/>
  <c r="BJ570" i="1"/>
  <c r="BF570" i="1"/>
  <c r="BD570" i="1"/>
  <c r="AW570" i="1"/>
  <c r="AP570" i="1"/>
  <c r="AO570" i="1"/>
  <c r="AK570" i="1"/>
  <c r="AJ570" i="1"/>
  <c r="AH570" i="1"/>
  <c r="AG570" i="1"/>
  <c r="AF570" i="1"/>
  <c r="AC570" i="1"/>
  <c r="AB570" i="1"/>
  <c r="Z570" i="1"/>
  <c r="J570" i="1"/>
  <c r="AL570" i="1" s="1"/>
  <c r="BJ568" i="1"/>
  <c r="Z568" i="1" s="1"/>
  <c r="BF568" i="1"/>
  <c r="BD568" i="1"/>
  <c r="AW568" i="1"/>
  <c r="AP568" i="1"/>
  <c r="BI568" i="1" s="1"/>
  <c r="AO568" i="1"/>
  <c r="BH568" i="1" s="1"/>
  <c r="AK568" i="1"/>
  <c r="AJ568" i="1"/>
  <c r="AH568" i="1"/>
  <c r="AG568" i="1"/>
  <c r="AF568" i="1"/>
  <c r="AE568" i="1"/>
  <c r="AD568" i="1"/>
  <c r="AC568" i="1"/>
  <c r="AB568" i="1"/>
  <c r="J568" i="1"/>
  <c r="AL568" i="1" s="1"/>
  <c r="I568" i="1"/>
  <c r="BJ567" i="1"/>
  <c r="BH567" i="1"/>
  <c r="BF567" i="1"/>
  <c r="BD567" i="1"/>
  <c r="AX567" i="1"/>
  <c r="AW567" i="1"/>
  <c r="AP567" i="1"/>
  <c r="BI567" i="1" s="1"/>
  <c r="AE567" i="1" s="1"/>
  <c r="AO567" i="1"/>
  <c r="H567" i="1" s="1"/>
  <c r="AK567" i="1"/>
  <c r="AJ567" i="1"/>
  <c r="AH567" i="1"/>
  <c r="AG567" i="1"/>
  <c r="AF567" i="1"/>
  <c r="AD567" i="1"/>
  <c r="AC567" i="1"/>
  <c r="AB567" i="1"/>
  <c r="Z567" i="1"/>
  <c r="J567" i="1"/>
  <c r="AL567" i="1" s="1"/>
  <c r="I567" i="1"/>
  <c r="BJ566" i="1"/>
  <c r="BH566" i="1"/>
  <c r="AD566" i="1" s="1"/>
  <c r="BF566" i="1"/>
  <c r="BD566" i="1"/>
  <c r="AP566" i="1"/>
  <c r="AO566" i="1"/>
  <c r="AK566" i="1"/>
  <c r="AJ566" i="1"/>
  <c r="AH566" i="1"/>
  <c r="AG566" i="1"/>
  <c r="AF566" i="1"/>
  <c r="AC566" i="1"/>
  <c r="AB566" i="1"/>
  <c r="Z566" i="1"/>
  <c r="J566" i="1"/>
  <c r="AL566" i="1" s="1"/>
  <c r="BJ565" i="1"/>
  <c r="BF565" i="1"/>
  <c r="BD565" i="1"/>
  <c r="AP565" i="1"/>
  <c r="AO565" i="1"/>
  <c r="BH565" i="1" s="1"/>
  <c r="AD565" i="1" s="1"/>
  <c r="AK565" i="1"/>
  <c r="AJ565" i="1"/>
  <c r="AH565" i="1"/>
  <c r="AG565" i="1"/>
  <c r="AF565" i="1"/>
  <c r="AC565" i="1"/>
  <c r="AB565" i="1"/>
  <c r="Z565" i="1"/>
  <c r="J565" i="1"/>
  <c r="AL565" i="1" s="1"/>
  <c r="H565" i="1"/>
  <c r="BJ564" i="1"/>
  <c r="BF564" i="1"/>
  <c r="BD564" i="1"/>
  <c r="AW564" i="1"/>
  <c r="AP564" i="1"/>
  <c r="BI564" i="1" s="1"/>
  <c r="AE564" i="1" s="1"/>
  <c r="AO564" i="1"/>
  <c r="BH564" i="1" s="1"/>
  <c r="AD564" i="1" s="1"/>
  <c r="AK564" i="1"/>
  <c r="AJ564" i="1"/>
  <c r="AH564" i="1"/>
  <c r="AG564" i="1"/>
  <c r="AF564" i="1"/>
  <c r="AC564" i="1"/>
  <c r="AB564" i="1"/>
  <c r="Z564" i="1"/>
  <c r="J564" i="1"/>
  <c r="AL564" i="1" s="1"/>
  <c r="I564" i="1"/>
  <c r="H564" i="1"/>
  <c r="BJ563" i="1"/>
  <c r="BF563" i="1"/>
  <c r="BD563" i="1"/>
  <c r="AX563" i="1"/>
  <c r="AP563" i="1"/>
  <c r="BI563" i="1" s="1"/>
  <c r="AE563" i="1" s="1"/>
  <c r="AO563" i="1"/>
  <c r="H563" i="1" s="1"/>
  <c r="AL563" i="1"/>
  <c r="AK563" i="1"/>
  <c r="AJ563" i="1"/>
  <c r="AH563" i="1"/>
  <c r="AG563" i="1"/>
  <c r="AF563" i="1"/>
  <c r="AC563" i="1"/>
  <c r="AB563" i="1"/>
  <c r="Z563" i="1"/>
  <c r="J563" i="1"/>
  <c r="I563" i="1"/>
  <c r="BJ562" i="1"/>
  <c r="BF562" i="1"/>
  <c r="BD562" i="1"/>
  <c r="AP562" i="1"/>
  <c r="I562" i="1" s="1"/>
  <c r="AO562" i="1"/>
  <c r="AK562" i="1"/>
  <c r="AJ562" i="1"/>
  <c r="AH562" i="1"/>
  <c r="AG562" i="1"/>
  <c r="AF562" i="1"/>
  <c r="AC562" i="1"/>
  <c r="AB562" i="1"/>
  <c r="Z562" i="1"/>
  <c r="J562" i="1"/>
  <c r="AL562" i="1" s="1"/>
  <c r="BJ561" i="1"/>
  <c r="BI561" i="1"/>
  <c r="BF561" i="1"/>
  <c r="BD561" i="1"/>
  <c r="AP561" i="1"/>
  <c r="AO561" i="1"/>
  <c r="BH561" i="1" s="1"/>
  <c r="AD561" i="1" s="1"/>
  <c r="AK561" i="1"/>
  <c r="AJ561" i="1"/>
  <c r="AH561" i="1"/>
  <c r="AG561" i="1"/>
  <c r="AF561" i="1"/>
  <c r="AE561" i="1"/>
  <c r="AC561" i="1"/>
  <c r="AB561" i="1"/>
  <c r="Z561" i="1"/>
  <c r="J561" i="1"/>
  <c r="AL561" i="1" s="1"/>
  <c r="BJ560" i="1"/>
  <c r="BF560" i="1"/>
  <c r="BD560" i="1"/>
  <c r="AP560" i="1"/>
  <c r="BI560" i="1" s="1"/>
  <c r="AE560" i="1" s="1"/>
  <c r="AO560" i="1"/>
  <c r="BH560" i="1" s="1"/>
  <c r="AD560" i="1" s="1"/>
  <c r="AL560" i="1"/>
  <c r="AK560" i="1"/>
  <c r="AJ560" i="1"/>
  <c r="AH560" i="1"/>
  <c r="AG560" i="1"/>
  <c r="AF560" i="1"/>
  <c r="AC560" i="1"/>
  <c r="AB560" i="1"/>
  <c r="Z560" i="1"/>
  <c r="J560" i="1"/>
  <c r="I560" i="1"/>
  <c r="H560" i="1"/>
  <c r="BJ559" i="1"/>
  <c r="BH559" i="1"/>
  <c r="BF559" i="1"/>
  <c r="BD559" i="1"/>
  <c r="AX559" i="1"/>
  <c r="AW559" i="1"/>
  <c r="AP559" i="1"/>
  <c r="BI559" i="1" s="1"/>
  <c r="AE559" i="1" s="1"/>
  <c r="AO559" i="1"/>
  <c r="H559" i="1" s="1"/>
  <c r="AK559" i="1"/>
  <c r="AJ559" i="1"/>
  <c r="AH559" i="1"/>
  <c r="AG559" i="1"/>
  <c r="AF559" i="1"/>
  <c r="AD559" i="1"/>
  <c r="AC559" i="1"/>
  <c r="AB559" i="1"/>
  <c r="Z559" i="1"/>
  <c r="J559" i="1"/>
  <c r="AL559" i="1" s="1"/>
  <c r="I559" i="1"/>
  <c r="BJ558" i="1"/>
  <c r="BH558" i="1"/>
  <c r="AD558" i="1" s="1"/>
  <c r="BF558" i="1"/>
  <c r="BD558" i="1"/>
  <c r="AP558" i="1"/>
  <c r="AO558" i="1"/>
  <c r="AK558" i="1"/>
  <c r="AJ558" i="1"/>
  <c r="AH558" i="1"/>
  <c r="AG558" i="1"/>
  <c r="AF558" i="1"/>
  <c r="AC558" i="1"/>
  <c r="AB558" i="1"/>
  <c r="Z558" i="1"/>
  <c r="J558" i="1"/>
  <c r="BJ556" i="1"/>
  <c r="Z556" i="1" s="1"/>
  <c r="BH556" i="1"/>
  <c r="BF556" i="1"/>
  <c r="BD556" i="1"/>
  <c r="AX556" i="1"/>
  <c r="AW556" i="1"/>
  <c r="AP556" i="1"/>
  <c r="BI556" i="1" s="1"/>
  <c r="AO556" i="1"/>
  <c r="H556" i="1" s="1"/>
  <c r="AK556" i="1"/>
  <c r="AJ556" i="1"/>
  <c r="AH556" i="1"/>
  <c r="AG556" i="1"/>
  <c r="AF556" i="1"/>
  <c r="AE556" i="1"/>
  <c r="AD556" i="1"/>
  <c r="AC556" i="1"/>
  <c r="AB556" i="1"/>
  <c r="J556" i="1"/>
  <c r="AL556" i="1" s="1"/>
  <c r="BJ555" i="1"/>
  <c r="BF555" i="1"/>
  <c r="BD555" i="1"/>
  <c r="AX555" i="1"/>
  <c r="AP555" i="1"/>
  <c r="I555" i="1" s="1"/>
  <c r="AO555" i="1"/>
  <c r="AK555" i="1"/>
  <c r="AJ555" i="1"/>
  <c r="AH555" i="1"/>
  <c r="AG555" i="1"/>
  <c r="AF555" i="1"/>
  <c r="AC555" i="1"/>
  <c r="AB555" i="1"/>
  <c r="Z555" i="1"/>
  <c r="J555" i="1"/>
  <c r="AL555" i="1" s="1"/>
  <c r="BJ554" i="1"/>
  <c r="BI554" i="1"/>
  <c r="AE554" i="1" s="1"/>
  <c r="BF554" i="1"/>
  <c r="BD554" i="1"/>
  <c r="AP554" i="1"/>
  <c r="AO554" i="1"/>
  <c r="BH554" i="1" s="1"/>
  <c r="AD554" i="1" s="1"/>
  <c r="AK554" i="1"/>
  <c r="AJ554" i="1"/>
  <c r="AH554" i="1"/>
  <c r="AG554" i="1"/>
  <c r="AF554" i="1"/>
  <c r="AC554" i="1"/>
  <c r="AB554" i="1"/>
  <c r="Z554" i="1"/>
  <c r="J554" i="1"/>
  <c r="AL554" i="1" s="1"/>
  <c r="H554" i="1"/>
  <c r="BJ553" i="1"/>
  <c r="BF553" i="1"/>
  <c r="BD553" i="1"/>
  <c r="AP553" i="1"/>
  <c r="BI553" i="1" s="1"/>
  <c r="AE553" i="1" s="1"/>
  <c r="AO553" i="1"/>
  <c r="BH553" i="1" s="1"/>
  <c r="AD553" i="1" s="1"/>
  <c r="AL553" i="1"/>
  <c r="AK553" i="1"/>
  <c r="AJ553" i="1"/>
  <c r="AH553" i="1"/>
  <c r="AG553" i="1"/>
  <c r="AF553" i="1"/>
  <c r="AC553" i="1"/>
  <c r="AB553" i="1"/>
  <c r="Z553" i="1"/>
  <c r="J553" i="1"/>
  <c r="I553" i="1"/>
  <c r="H553" i="1"/>
  <c r="BJ552" i="1"/>
  <c r="BF552" i="1"/>
  <c r="BD552" i="1"/>
  <c r="AX552" i="1"/>
  <c r="AP552" i="1"/>
  <c r="BI552" i="1" s="1"/>
  <c r="AE552" i="1" s="1"/>
  <c r="AO552" i="1"/>
  <c r="AK552" i="1"/>
  <c r="AJ552" i="1"/>
  <c r="AH552" i="1"/>
  <c r="AG552" i="1"/>
  <c r="AF552" i="1"/>
  <c r="AC552" i="1"/>
  <c r="AB552" i="1"/>
  <c r="Z552" i="1"/>
  <c r="J552" i="1"/>
  <c r="AL552" i="1" s="1"/>
  <c r="I552" i="1"/>
  <c r="BJ551" i="1"/>
  <c r="BH551" i="1"/>
  <c r="AD551" i="1" s="1"/>
  <c r="BF551" i="1"/>
  <c r="BD551" i="1"/>
  <c r="AP551" i="1"/>
  <c r="AO551" i="1"/>
  <c r="AK551" i="1"/>
  <c r="AJ551" i="1"/>
  <c r="AH551" i="1"/>
  <c r="AG551" i="1"/>
  <c r="AF551" i="1"/>
  <c r="AC551" i="1"/>
  <c r="AB551" i="1"/>
  <c r="Z551" i="1"/>
  <c r="J551" i="1"/>
  <c r="AL551" i="1" s="1"/>
  <c r="BJ550" i="1"/>
  <c r="BF550" i="1"/>
  <c r="BD550" i="1"/>
  <c r="AP550" i="1"/>
  <c r="AO550" i="1"/>
  <c r="BH550" i="1" s="1"/>
  <c r="AD550" i="1" s="1"/>
  <c r="AK550" i="1"/>
  <c r="AJ550" i="1"/>
  <c r="AH550" i="1"/>
  <c r="AG550" i="1"/>
  <c r="AF550" i="1"/>
  <c r="AC550" i="1"/>
  <c r="AB550" i="1"/>
  <c r="Z550" i="1"/>
  <c r="J550" i="1"/>
  <c r="AL550" i="1" s="1"/>
  <c r="BJ549" i="1"/>
  <c r="BF549" i="1"/>
  <c r="BD549" i="1"/>
  <c r="AW549" i="1"/>
  <c r="AP549" i="1"/>
  <c r="BI549" i="1" s="1"/>
  <c r="AE549" i="1" s="1"/>
  <c r="AO549" i="1"/>
  <c r="BH549" i="1" s="1"/>
  <c r="AD549" i="1" s="1"/>
  <c r="AK549" i="1"/>
  <c r="AJ549" i="1"/>
  <c r="AH549" i="1"/>
  <c r="AG549" i="1"/>
  <c r="AF549" i="1"/>
  <c r="AC549" i="1"/>
  <c r="AB549" i="1"/>
  <c r="Z549" i="1"/>
  <c r="J549" i="1"/>
  <c r="AL549" i="1" s="1"/>
  <c r="I549" i="1"/>
  <c r="H549" i="1"/>
  <c r="BJ548" i="1"/>
  <c r="BF548" i="1"/>
  <c r="BD548" i="1"/>
  <c r="AW548" i="1"/>
  <c r="AP548" i="1"/>
  <c r="BI548" i="1" s="1"/>
  <c r="AE548" i="1" s="1"/>
  <c r="AO548" i="1"/>
  <c r="AL548" i="1"/>
  <c r="AK548" i="1"/>
  <c r="AJ548" i="1"/>
  <c r="AH548" i="1"/>
  <c r="AG548" i="1"/>
  <c r="AF548" i="1"/>
  <c r="AC548" i="1"/>
  <c r="AB548" i="1"/>
  <c r="Z548" i="1"/>
  <c r="J548" i="1"/>
  <c r="I548" i="1"/>
  <c r="BJ547" i="1"/>
  <c r="BI547" i="1"/>
  <c r="AE547" i="1" s="1"/>
  <c r="BF547" i="1"/>
  <c r="BD547" i="1"/>
  <c r="AP547" i="1"/>
  <c r="I547" i="1" s="1"/>
  <c r="AO547" i="1"/>
  <c r="AK547" i="1"/>
  <c r="AJ547" i="1"/>
  <c r="AH547" i="1"/>
  <c r="AG547" i="1"/>
  <c r="AF547" i="1"/>
  <c r="AC547" i="1"/>
  <c r="AB547" i="1"/>
  <c r="Z547" i="1"/>
  <c r="J547" i="1"/>
  <c r="BJ545" i="1"/>
  <c r="Z545" i="1" s="1"/>
  <c r="BF545" i="1"/>
  <c r="BD545" i="1"/>
  <c r="AW545" i="1"/>
  <c r="AP545" i="1"/>
  <c r="BI545" i="1" s="1"/>
  <c r="AO545" i="1"/>
  <c r="AK545" i="1"/>
  <c r="AJ545" i="1"/>
  <c r="AH545" i="1"/>
  <c r="AG545" i="1"/>
  <c r="AF545" i="1"/>
  <c r="AE545" i="1"/>
  <c r="AD545" i="1"/>
  <c r="AC545" i="1"/>
  <c r="AB545" i="1"/>
  <c r="J545" i="1"/>
  <c r="AL545" i="1" s="1"/>
  <c r="I545" i="1"/>
  <c r="BJ544" i="1"/>
  <c r="BF544" i="1"/>
  <c r="BD544" i="1"/>
  <c r="AP544" i="1"/>
  <c r="I544" i="1" s="1"/>
  <c r="AO544" i="1"/>
  <c r="AK544" i="1"/>
  <c r="AJ544" i="1"/>
  <c r="AH544" i="1"/>
  <c r="AG544" i="1"/>
  <c r="AF544" i="1"/>
  <c r="AC544" i="1"/>
  <c r="AB544" i="1"/>
  <c r="Z544" i="1"/>
  <c r="J544" i="1"/>
  <c r="AL544" i="1" s="1"/>
  <c r="BJ543" i="1"/>
  <c r="BI543" i="1"/>
  <c r="AE543" i="1" s="1"/>
  <c r="BF543" i="1"/>
  <c r="BD543" i="1"/>
  <c r="AP543" i="1"/>
  <c r="AO543" i="1"/>
  <c r="BH543" i="1" s="1"/>
  <c r="AD543" i="1" s="1"/>
  <c r="AK543" i="1"/>
  <c r="AJ543" i="1"/>
  <c r="AH543" i="1"/>
  <c r="AG543" i="1"/>
  <c r="AF543" i="1"/>
  <c r="AC543" i="1"/>
  <c r="AB543" i="1"/>
  <c r="Z543" i="1"/>
  <c r="J543" i="1"/>
  <c r="AL543" i="1" s="1"/>
  <c r="H543" i="1"/>
  <c r="BJ542" i="1"/>
  <c r="BF542" i="1"/>
  <c r="BD542" i="1"/>
  <c r="AW542" i="1"/>
  <c r="AP542" i="1"/>
  <c r="BI542" i="1" s="1"/>
  <c r="AE542" i="1" s="1"/>
  <c r="AO542" i="1"/>
  <c r="BH542" i="1" s="1"/>
  <c r="AD542" i="1" s="1"/>
  <c r="AK542" i="1"/>
  <c r="AJ542" i="1"/>
  <c r="AH542" i="1"/>
  <c r="AG542" i="1"/>
  <c r="AF542" i="1"/>
  <c r="AC542" i="1"/>
  <c r="AB542" i="1"/>
  <c r="Z542" i="1"/>
  <c r="J542" i="1"/>
  <c r="AL542" i="1" s="1"/>
  <c r="H542" i="1"/>
  <c r="BJ541" i="1"/>
  <c r="BF541" i="1"/>
  <c r="BD541" i="1"/>
  <c r="AX541" i="1"/>
  <c r="AP541" i="1"/>
  <c r="BI541" i="1" s="1"/>
  <c r="AE541" i="1" s="1"/>
  <c r="AO541" i="1"/>
  <c r="AK541" i="1"/>
  <c r="AJ541" i="1"/>
  <c r="AH541" i="1"/>
  <c r="AG541" i="1"/>
  <c r="AF541" i="1"/>
  <c r="AC541" i="1"/>
  <c r="AB541" i="1"/>
  <c r="Z541" i="1"/>
  <c r="J541" i="1"/>
  <c r="AL541" i="1" s="1"/>
  <c r="I541" i="1"/>
  <c r="BJ540" i="1"/>
  <c r="BH540" i="1"/>
  <c r="AD540" i="1" s="1"/>
  <c r="BF540" i="1"/>
  <c r="BD540" i="1"/>
  <c r="AX540" i="1"/>
  <c r="AP540" i="1"/>
  <c r="I540" i="1" s="1"/>
  <c r="AO540" i="1"/>
  <c r="AK540" i="1"/>
  <c r="AJ540" i="1"/>
  <c r="AH540" i="1"/>
  <c r="AG540" i="1"/>
  <c r="AF540" i="1"/>
  <c r="AC540" i="1"/>
  <c r="AB540" i="1"/>
  <c r="Z540" i="1"/>
  <c r="J540" i="1"/>
  <c r="AL540" i="1" s="1"/>
  <c r="BJ539" i="1"/>
  <c r="BF539" i="1"/>
  <c r="BD539" i="1"/>
  <c r="AP539" i="1"/>
  <c r="AO539" i="1"/>
  <c r="H539" i="1" s="1"/>
  <c r="AK539" i="1"/>
  <c r="AJ539" i="1"/>
  <c r="AH539" i="1"/>
  <c r="AG539" i="1"/>
  <c r="AF539" i="1"/>
  <c r="AC539" i="1"/>
  <c r="AB539" i="1"/>
  <c r="Z539" i="1"/>
  <c r="J539" i="1"/>
  <c r="AL539" i="1" s="1"/>
  <c r="BJ538" i="1"/>
  <c r="BF538" i="1"/>
  <c r="BD538" i="1"/>
  <c r="AP538" i="1"/>
  <c r="AO538" i="1"/>
  <c r="AK538" i="1"/>
  <c r="AJ538" i="1"/>
  <c r="AH538" i="1"/>
  <c r="AG538" i="1"/>
  <c r="AF538" i="1"/>
  <c r="AC538" i="1"/>
  <c r="AB538" i="1"/>
  <c r="Z538" i="1"/>
  <c r="J538" i="1"/>
  <c r="AL538" i="1" s="1"/>
  <c r="BJ537" i="1"/>
  <c r="BF537" i="1"/>
  <c r="BD537" i="1"/>
  <c r="AW537" i="1"/>
  <c r="AP537" i="1"/>
  <c r="BI537" i="1" s="1"/>
  <c r="AE537" i="1" s="1"/>
  <c r="AO537" i="1"/>
  <c r="BH537" i="1" s="1"/>
  <c r="AD537" i="1" s="1"/>
  <c r="AK537" i="1"/>
  <c r="AJ537" i="1"/>
  <c r="AH537" i="1"/>
  <c r="AG537" i="1"/>
  <c r="AF537" i="1"/>
  <c r="AC537" i="1"/>
  <c r="AB537" i="1"/>
  <c r="Z537" i="1"/>
  <c r="J537" i="1"/>
  <c r="AL537" i="1" s="1"/>
  <c r="I537" i="1"/>
  <c r="BJ536" i="1"/>
  <c r="BF536" i="1"/>
  <c r="BD536" i="1"/>
  <c r="AX536" i="1"/>
  <c r="AW536" i="1"/>
  <c r="AP536" i="1"/>
  <c r="BI536" i="1" s="1"/>
  <c r="AE536" i="1" s="1"/>
  <c r="AO536" i="1"/>
  <c r="H536" i="1" s="1"/>
  <c r="AL536" i="1"/>
  <c r="AK536" i="1"/>
  <c r="AJ536" i="1"/>
  <c r="AH536" i="1"/>
  <c r="AG536" i="1"/>
  <c r="AF536" i="1"/>
  <c r="AC536" i="1"/>
  <c r="AB536" i="1"/>
  <c r="Z536" i="1"/>
  <c r="J536" i="1"/>
  <c r="I536" i="1"/>
  <c r="BJ535" i="1"/>
  <c r="BF535" i="1"/>
  <c r="BD535" i="1"/>
  <c r="AP535" i="1"/>
  <c r="I535" i="1" s="1"/>
  <c r="AO535" i="1"/>
  <c r="AK535" i="1"/>
  <c r="AJ535" i="1"/>
  <c r="AH535" i="1"/>
  <c r="AG535" i="1"/>
  <c r="AF535" i="1"/>
  <c r="AC535" i="1"/>
  <c r="AB535" i="1"/>
  <c r="Z535" i="1"/>
  <c r="J535" i="1"/>
  <c r="AL535" i="1" s="1"/>
  <c r="BJ534" i="1"/>
  <c r="BF534" i="1"/>
  <c r="BD534" i="1"/>
  <c r="AP534" i="1"/>
  <c r="AO534" i="1"/>
  <c r="BH534" i="1" s="1"/>
  <c r="AD534" i="1" s="1"/>
  <c r="AK534" i="1"/>
  <c r="AJ534" i="1"/>
  <c r="AH534" i="1"/>
  <c r="AG534" i="1"/>
  <c r="AF534" i="1"/>
  <c r="AC534" i="1"/>
  <c r="AB534" i="1"/>
  <c r="Z534" i="1"/>
  <c r="J534" i="1"/>
  <c r="AL534" i="1" s="1"/>
  <c r="H534" i="1"/>
  <c r="BJ533" i="1"/>
  <c r="BF533" i="1"/>
  <c r="BD533" i="1"/>
  <c r="AP533" i="1"/>
  <c r="BI533" i="1" s="1"/>
  <c r="AE533" i="1" s="1"/>
  <c r="AO533" i="1"/>
  <c r="BH533" i="1" s="1"/>
  <c r="AD533" i="1" s="1"/>
  <c r="AK533" i="1"/>
  <c r="AJ533" i="1"/>
  <c r="AH533" i="1"/>
  <c r="AG533" i="1"/>
  <c r="AF533" i="1"/>
  <c r="AC533" i="1"/>
  <c r="AB533" i="1"/>
  <c r="Z533" i="1"/>
  <c r="J533" i="1"/>
  <c r="AL533" i="1" s="1"/>
  <c r="I533" i="1"/>
  <c r="H533" i="1"/>
  <c r="BJ532" i="1"/>
  <c r="BF532" i="1"/>
  <c r="BD532" i="1"/>
  <c r="AW532" i="1"/>
  <c r="AP532" i="1"/>
  <c r="BI532" i="1" s="1"/>
  <c r="AE532" i="1" s="1"/>
  <c r="AO532" i="1"/>
  <c r="H532" i="1" s="1"/>
  <c r="AK532" i="1"/>
  <c r="AJ532" i="1"/>
  <c r="AH532" i="1"/>
  <c r="AG532" i="1"/>
  <c r="AF532" i="1"/>
  <c r="AC532" i="1"/>
  <c r="AB532" i="1"/>
  <c r="Z532" i="1"/>
  <c r="J532" i="1"/>
  <c r="AL532" i="1" s="1"/>
  <c r="BJ531" i="1"/>
  <c r="BH531" i="1"/>
  <c r="BF531" i="1"/>
  <c r="BD531" i="1"/>
  <c r="AX531" i="1"/>
  <c r="AP531" i="1"/>
  <c r="I531" i="1" s="1"/>
  <c r="AO531" i="1"/>
  <c r="AK531" i="1"/>
  <c r="AJ531" i="1"/>
  <c r="AH531" i="1"/>
  <c r="AG531" i="1"/>
  <c r="AF531" i="1"/>
  <c r="AD531" i="1"/>
  <c r="AC531" i="1"/>
  <c r="AB531" i="1"/>
  <c r="Z531" i="1"/>
  <c r="J531" i="1"/>
  <c r="AL531" i="1" s="1"/>
  <c r="BJ530" i="1"/>
  <c r="BF530" i="1"/>
  <c r="BD530" i="1"/>
  <c r="AP530" i="1"/>
  <c r="AO530" i="1"/>
  <c r="AK530" i="1"/>
  <c r="AJ530" i="1"/>
  <c r="AH530" i="1"/>
  <c r="AG530" i="1"/>
  <c r="AF530" i="1"/>
  <c r="AC530" i="1"/>
  <c r="AB530" i="1"/>
  <c r="Z530" i="1"/>
  <c r="J530" i="1"/>
  <c r="AL530" i="1" s="1"/>
  <c r="BJ529" i="1"/>
  <c r="BF529" i="1"/>
  <c r="BD529" i="1"/>
  <c r="AW529" i="1"/>
  <c r="AP529" i="1"/>
  <c r="BI529" i="1" s="1"/>
  <c r="AE529" i="1" s="1"/>
  <c r="AO529" i="1"/>
  <c r="BH529" i="1" s="1"/>
  <c r="AD529" i="1" s="1"/>
  <c r="AK529" i="1"/>
  <c r="AJ529" i="1"/>
  <c r="AH529" i="1"/>
  <c r="AG529" i="1"/>
  <c r="AF529" i="1"/>
  <c r="AC529" i="1"/>
  <c r="AB529" i="1"/>
  <c r="Z529" i="1"/>
  <c r="J529" i="1"/>
  <c r="AL529" i="1" s="1"/>
  <c r="I529" i="1"/>
  <c r="H529" i="1"/>
  <c r="BJ528" i="1"/>
  <c r="BF528" i="1"/>
  <c r="BD528" i="1"/>
  <c r="AP528" i="1"/>
  <c r="AO528" i="1"/>
  <c r="H528" i="1" s="1"/>
  <c r="AL528" i="1"/>
  <c r="AK528" i="1"/>
  <c r="AJ528" i="1"/>
  <c r="AH528" i="1"/>
  <c r="AG528" i="1"/>
  <c r="AF528" i="1"/>
  <c r="AC528" i="1"/>
  <c r="AB528" i="1"/>
  <c r="Z528" i="1"/>
  <c r="J528" i="1"/>
  <c r="I528" i="1"/>
  <c r="BJ527" i="1"/>
  <c r="BH527" i="1"/>
  <c r="AD527" i="1" s="1"/>
  <c r="BF527" i="1"/>
  <c r="BD527" i="1"/>
  <c r="AX527" i="1"/>
  <c r="AP527" i="1"/>
  <c r="I527" i="1" s="1"/>
  <c r="AO527" i="1"/>
  <c r="AK527" i="1"/>
  <c r="AJ527" i="1"/>
  <c r="AH527" i="1"/>
  <c r="AG527" i="1"/>
  <c r="AF527" i="1"/>
  <c r="AC527" i="1"/>
  <c r="AB527" i="1"/>
  <c r="Z527" i="1"/>
  <c r="J527" i="1"/>
  <c r="AL527" i="1" s="1"/>
  <c r="BJ526" i="1"/>
  <c r="BF526" i="1"/>
  <c r="BD526" i="1"/>
  <c r="AP526" i="1"/>
  <c r="AO526" i="1"/>
  <c r="BH526" i="1" s="1"/>
  <c r="AD526" i="1" s="1"/>
  <c r="AK526" i="1"/>
  <c r="AJ526" i="1"/>
  <c r="AH526" i="1"/>
  <c r="AG526" i="1"/>
  <c r="AF526" i="1"/>
  <c r="AC526" i="1"/>
  <c r="AB526" i="1"/>
  <c r="Z526" i="1"/>
  <c r="J526" i="1"/>
  <c r="AL526" i="1" s="1"/>
  <c r="BJ525" i="1"/>
  <c r="BF525" i="1"/>
  <c r="BD525" i="1"/>
  <c r="AW525" i="1"/>
  <c r="AP525" i="1"/>
  <c r="BI525" i="1" s="1"/>
  <c r="AE525" i="1" s="1"/>
  <c r="AO525" i="1"/>
  <c r="BH525" i="1" s="1"/>
  <c r="AD525" i="1" s="1"/>
  <c r="AL525" i="1"/>
  <c r="AK525" i="1"/>
  <c r="AJ525" i="1"/>
  <c r="AH525" i="1"/>
  <c r="AG525" i="1"/>
  <c r="AF525" i="1"/>
  <c r="AC525" i="1"/>
  <c r="AB525" i="1"/>
  <c r="Z525" i="1"/>
  <c r="J525" i="1"/>
  <c r="I525" i="1"/>
  <c r="H525" i="1"/>
  <c r="BJ524" i="1"/>
  <c r="BF524" i="1"/>
  <c r="BD524" i="1"/>
  <c r="AX524" i="1"/>
  <c r="AW524" i="1"/>
  <c r="AP524" i="1"/>
  <c r="BI524" i="1" s="1"/>
  <c r="AE524" i="1" s="1"/>
  <c r="AO524" i="1"/>
  <c r="H524" i="1" s="1"/>
  <c r="AK524" i="1"/>
  <c r="AJ524" i="1"/>
  <c r="AH524" i="1"/>
  <c r="AG524" i="1"/>
  <c r="AF524" i="1"/>
  <c r="AC524" i="1"/>
  <c r="AB524" i="1"/>
  <c r="Z524" i="1"/>
  <c r="J524" i="1"/>
  <c r="AL524" i="1" s="1"/>
  <c r="I524" i="1"/>
  <c r="BJ523" i="1"/>
  <c r="BF523" i="1"/>
  <c r="BD523" i="1"/>
  <c r="AP523" i="1"/>
  <c r="AO523" i="1"/>
  <c r="BH523" i="1" s="1"/>
  <c r="AD523" i="1" s="1"/>
  <c r="AK523" i="1"/>
  <c r="AJ523" i="1"/>
  <c r="AH523" i="1"/>
  <c r="AG523" i="1"/>
  <c r="AF523" i="1"/>
  <c r="AC523" i="1"/>
  <c r="AB523" i="1"/>
  <c r="Z523" i="1"/>
  <c r="J523" i="1"/>
  <c r="AL523" i="1" s="1"/>
  <c r="BJ522" i="1"/>
  <c r="BF522" i="1"/>
  <c r="BD522" i="1"/>
  <c r="AP522" i="1"/>
  <c r="AO522" i="1"/>
  <c r="BH522" i="1" s="1"/>
  <c r="AD522" i="1" s="1"/>
  <c r="AK522" i="1"/>
  <c r="AJ522" i="1"/>
  <c r="AH522" i="1"/>
  <c r="AG522" i="1"/>
  <c r="AF522" i="1"/>
  <c r="AC522" i="1"/>
  <c r="AB522" i="1"/>
  <c r="Z522" i="1"/>
  <c r="J522" i="1"/>
  <c r="AL522" i="1" s="1"/>
  <c r="H522" i="1"/>
  <c r="BJ521" i="1"/>
  <c r="BF521" i="1"/>
  <c r="BD521" i="1"/>
  <c r="AP521" i="1"/>
  <c r="BI521" i="1" s="1"/>
  <c r="AE521" i="1" s="1"/>
  <c r="AO521" i="1"/>
  <c r="BH521" i="1" s="1"/>
  <c r="AD521" i="1" s="1"/>
  <c r="AK521" i="1"/>
  <c r="AJ521" i="1"/>
  <c r="AH521" i="1"/>
  <c r="AG521" i="1"/>
  <c r="AF521" i="1"/>
  <c r="AC521" i="1"/>
  <c r="AB521" i="1"/>
  <c r="Z521" i="1"/>
  <c r="J521" i="1"/>
  <c r="AL521" i="1" s="1"/>
  <c r="I521" i="1"/>
  <c r="H521" i="1"/>
  <c r="BJ520" i="1"/>
  <c r="BF520" i="1"/>
  <c r="BD520" i="1"/>
  <c r="AW520" i="1"/>
  <c r="AP520" i="1"/>
  <c r="BI520" i="1" s="1"/>
  <c r="AE520" i="1" s="1"/>
  <c r="AO520" i="1"/>
  <c r="H520" i="1" s="1"/>
  <c r="AK520" i="1"/>
  <c r="AJ520" i="1"/>
  <c r="AH520" i="1"/>
  <c r="AG520" i="1"/>
  <c r="AF520" i="1"/>
  <c r="AC520" i="1"/>
  <c r="AB520" i="1"/>
  <c r="Z520" i="1"/>
  <c r="J520" i="1"/>
  <c r="AL520" i="1" s="1"/>
  <c r="BJ519" i="1"/>
  <c r="BH519" i="1"/>
  <c r="BF519" i="1"/>
  <c r="BD519" i="1"/>
  <c r="AX519" i="1"/>
  <c r="AP519" i="1"/>
  <c r="I519" i="1" s="1"/>
  <c r="AO519" i="1"/>
  <c r="AK519" i="1"/>
  <c r="AJ519" i="1"/>
  <c r="AH519" i="1"/>
  <c r="AG519" i="1"/>
  <c r="AF519" i="1"/>
  <c r="AD519" i="1"/>
  <c r="AC519" i="1"/>
  <c r="AB519" i="1"/>
  <c r="Z519" i="1"/>
  <c r="J519" i="1"/>
  <c r="AL519" i="1" s="1"/>
  <c r="BJ518" i="1"/>
  <c r="BF518" i="1"/>
  <c r="BD518" i="1"/>
  <c r="AP518" i="1"/>
  <c r="AO518" i="1"/>
  <c r="AK518" i="1"/>
  <c r="AJ518" i="1"/>
  <c r="AH518" i="1"/>
  <c r="AG518" i="1"/>
  <c r="AF518" i="1"/>
  <c r="AC518" i="1"/>
  <c r="AB518" i="1"/>
  <c r="Z518" i="1"/>
  <c r="J518" i="1"/>
  <c r="AL518" i="1" s="1"/>
  <c r="BJ517" i="1"/>
  <c r="BF517" i="1"/>
  <c r="BD517" i="1"/>
  <c r="AW517" i="1"/>
  <c r="AP517" i="1"/>
  <c r="BI517" i="1" s="1"/>
  <c r="AE517" i="1" s="1"/>
  <c r="AO517" i="1"/>
  <c r="BH517" i="1" s="1"/>
  <c r="AD517" i="1" s="1"/>
  <c r="AK517" i="1"/>
  <c r="AJ517" i="1"/>
  <c r="AH517" i="1"/>
  <c r="AG517" i="1"/>
  <c r="AF517" i="1"/>
  <c r="AC517" i="1"/>
  <c r="AB517" i="1"/>
  <c r="Z517" i="1"/>
  <c r="J517" i="1"/>
  <c r="AL517" i="1" s="1"/>
  <c r="I517" i="1"/>
  <c r="H517" i="1"/>
  <c r="BJ516" i="1"/>
  <c r="BF516" i="1"/>
  <c r="BD516" i="1"/>
  <c r="AP516" i="1"/>
  <c r="AO516" i="1"/>
  <c r="H516" i="1" s="1"/>
  <c r="AL516" i="1"/>
  <c r="AK516" i="1"/>
  <c r="AJ516" i="1"/>
  <c r="AH516" i="1"/>
  <c r="AG516" i="1"/>
  <c r="AF516" i="1"/>
  <c r="AC516" i="1"/>
  <c r="AB516" i="1"/>
  <c r="Z516" i="1"/>
  <c r="J516" i="1"/>
  <c r="I516" i="1"/>
  <c r="BJ515" i="1"/>
  <c r="BH515" i="1"/>
  <c r="AD515" i="1" s="1"/>
  <c r="BF515" i="1"/>
  <c r="BD515" i="1"/>
  <c r="AP515" i="1"/>
  <c r="I515" i="1" s="1"/>
  <c r="AO515" i="1"/>
  <c r="AK515" i="1"/>
  <c r="AJ515" i="1"/>
  <c r="AH515" i="1"/>
  <c r="AG515" i="1"/>
  <c r="AF515" i="1"/>
  <c r="AC515" i="1"/>
  <c r="AB515" i="1"/>
  <c r="Z515" i="1"/>
  <c r="J515" i="1"/>
  <c r="AL515" i="1" s="1"/>
  <c r="BJ514" i="1"/>
  <c r="BF514" i="1"/>
  <c r="BD514" i="1"/>
  <c r="AP514" i="1"/>
  <c r="AO514" i="1"/>
  <c r="BH514" i="1" s="1"/>
  <c r="AD514" i="1" s="1"/>
  <c r="AK514" i="1"/>
  <c r="AJ514" i="1"/>
  <c r="AH514" i="1"/>
  <c r="AG514" i="1"/>
  <c r="AF514" i="1"/>
  <c r="AC514" i="1"/>
  <c r="AB514" i="1"/>
  <c r="Z514" i="1"/>
  <c r="J514" i="1"/>
  <c r="AL514" i="1" s="1"/>
  <c r="BJ513" i="1"/>
  <c r="BF513" i="1"/>
  <c r="BD513" i="1"/>
  <c r="AW513" i="1"/>
  <c r="AP513" i="1"/>
  <c r="BI513" i="1" s="1"/>
  <c r="AE513" i="1" s="1"/>
  <c r="AO513" i="1"/>
  <c r="BH513" i="1" s="1"/>
  <c r="AD513" i="1" s="1"/>
  <c r="AK513" i="1"/>
  <c r="AJ513" i="1"/>
  <c r="AH513" i="1"/>
  <c r="AG513" i="1"/>
  <c r="AF513" i="1"/>
  <c r="AC513" i="1"/>
  <c r="AB513" i="1"/>
  <c r="Z513" i="1"/>
  <c r="J513" i="1"/>
  <c r="AL513" i="1" s="1"/>
  <c r="I513" i="1"/>
  <c r="H513" i="1"/>
  <c r="BJ512" i="1"/>
  <c r="BF512" i="1"/>
  <c r="BD512" i="1"/>
  <c r="AX512" i="1"/>
  <c r="AW512" i="1"/>
  <c r="AP512" i="1"/>
  <c r="BI512" i="1" s="1"/>
  <c r="AE512" i="1" s="1"/>
  <c r="AO512" i="1"/>
  <c r="H512" i="1" s="1"/>
  <c r="AK512" i="1"/>
  <c r="AJ512" i="1"/>
  <c r="AH512" i="1"/>
  <c r="AG512" i="1"/>
  <c r="AF512" i="1"/>
  <c r="AC512" i="1"/>
  <c r="AB512" i="1"/>
  <c r="Z512" i="1"/>
  <c r="J512" i="1"/>
  <c r="AL512" i="1" s="1"/>
  <c r="I512" i="1"/>
  <c r="BJ510" i="1"/>
  <c r="Z510" i="1" s="1"/>
  <c r="BF510" i="1"/>
  <c r="BD510" i="1"/>
  <c r="AP510" i="1"/>
  <c r="BI510" i="1" s="1"/>
  <c r="AO510" i="1"/>
  <c r="H510" i="1" s="1"/>
  <c r="AK510" i="1"/>
  <c r="AJ510" i="1"/>
  <c r="AH510" i="1"/>
  <c r="AG510" i="1"/>
  <c r="AF510" i="1"/>
  <c r="AE510" i="1"/>
  <c r="AD510" i="1"/>
  <c r="AC510" i="1"/>
  <c r="AB510" i="1"/>
  <c r="J510" i="1"/>
  <c r="AL510" i="1" s="1"/>
  <c r="I510" i="1"/>
  <c r="BJ509" i="1"/>
  <c r="BF509" i="1"/>
  <c r="BD509" i="1"/>
  <c r="AW509" i="1"/>
  <c r="AP509" i="1"/>
  <c r="BI509" i="1" s="1"/>
  <c r="AE509" i="1" s="1"/>
  <c r="AO509" i="1"/>
  <c r="H509" i="1" s="1"/>
  <c r="AL509" i="1"/>
  <c r="AK509" i="1"/>
  <c r="AJ509" i="1"/>
  <c r="AH509" i="1"/>
  <c r="AG509" i="1"/>
  <c r="AF509" i="1"/>
  <c r="AC509" i="1"/>
  <c r="AB509" i="1"/>
  <c r="Z509" i="1"/>
  <c r="J509" i="1"/>
  <c r="I509" i="1"/>
  <c r="BJ508" i="1"/>
  <c r="BH508" i="1"/>
  <c r="AD508" i="1" s="1"/>
  <c r="BF508" i="1"/>
  <c r="BD508" i="1"/>
  <c r="AP508" i="1"/>
  <c r="I508" i="1" s="1"/>
  <c r="AO508" i="1"/>
  <c r="AK508" i="1"/>
  <c r="AJ508" i="1"/>
  <c r="AH508" i="1"/>
  <c r="AG508" i="1"/>
  <c r="AF508" i="1"/>
  <c r="AC508" i="1"/>
  <c r="AB508" i="1"/>
  <c r="Z508" i="1"/>
  <c r="J508" i="1"/>
  <c r="AL508" i="1" s="1"/>
  <c r="BJ507" i="1"/>
  <c r="BF507" i="1"/>
  <c r="BD507" i="1"/>
  <c r="AP507" i="1"/>
  <c r="AO507" i="1"/>
  <c r="BH507" i="1" s="1"/>
  <c r="AD507" i="1" s="1"/>
  <c r="AK507" i="1"/>
  <c r="AJ507" i="1"/>
  <c r="AH507" i="1"/>
  <c r="AG507" i="1"/>
  <c r="AF507" i="1"/>
  <c r="AC507" i="1"/>
  <c r="AB507" i="1"/>
  <c r="Z507" i="1"/>
  <c r="J507" i="1"/>
  <c r="AL507" i="1" s="1"/>
  <c r="BJ506" i="1"/>
  <c r="BF506" i="1"/>
  <c r="BD506" i="1"/>
  <c r="AW506" i="1"/>
  <c r="AP506" i="1"/>
  <c r="BI506" i="1" s="1"/>
  <c r="AE506" i="1" s="1"/>
  <c r="AO506" i="1"/>
  <c r="BH506" i="1" s="1"/>
  <c r="AD506" i="1" s="1"/>
  <c r="AL506" i="1"/>
  <c r="AK506" i="1"/>
  <c r="AJ506" i="1"/>
  <c r="AH506" i="1"/>
  <c r="AG506" i="1"/>
  <c r="AF506" i="1"/>
  <c r="AC506" i="1"/>
  <c r="AB506" i="1"/>
  <c r="Z506" i="1"/>
  <c r="J506" i="1"/>
  <c r="I506" i="1"/>
  <c r="H506" i="1"/>
  <c r="BJ505" i="1"/>
  <c r="BF505" i="1"/>
  <c r="BD505" i="1"/>
  <c r="AX505" i="1"/>
  <c r="AW505" i="1"/>
  <c r="AP505" i="1"/>
  <c r="BI505" i="1" s="1"/>
  <c r="AE505" i="1" s="1"/>
  <c r="AO505" i="1"/>
  <c r="H505" i="1" s="1"/>
  <c r="AK505" i="1"/>
  <c r="AJ505" i="1"/>
  <c r="AH505" i="1"/>
  <c r="AG505" i="1"/>
  <c r="AF505" i="1"/>
  <c r="AC505" i="1"/>
  <c r="AB505" i="1"/>
  <c r="Z505" i="1"/>
  <c r="J505" i="1"/>
  <c r="AL505" i="1" s="1"/>
  <c r="I505" i="1"/>
  <c r="BJ504" i="1"/>
  <c r="BF504" i="1"/>
  <c r="BD504" i="1"/>
  <c r="AX504" i="1"/>
  <c r="AP504" i="1"/>
  <c r="I504" i="1" s="1"/>
  <c r="AO504" i="1"/>
  <c r="BH504" i="1" s="1"/>
  <c r="AD504" i="1" s="1"/>
  <c r="AK504" i="1"/>
  <c r="AJ504" i="1"/>
  <c r="AH504" i="1"/>
  <c r="AG504" i="1"/>
  <c r="AF504" i="1"/>
  <c r="AC504" i="1"/>
  <c r="AB504" i="1"/>
  <c r="Z504" i="1"/>
  <c r="J504" i="1"/>
  <c r="AL504" i="1" s="1"/>
  <c r="BJ503" i="1"/>
  <c r="BF503" i="1"/>
  <c r="BD503" i="1"/>
  <c r="AP503" i="1"/>
  <c r="BI503" i="1" s="1"/>
  <c r="AE503" i="1" s="1"/>
  <c r="AO503" i="1"/>
  <c r="AK503" i="1"/>
  <c r="AJ503" i="1"/>
  <c r="AH503" i="1"/>
  <c r="AG503" i="1"/>
  <c r="AF503" i="1"/>
  <c r="AC503" i="1"/>
  <c r="AB503" i="1"/>
  <c r="Z503" i="1"/>
  <c r="J503" i="1"/>
  <c r="AL503" i="1" s="1"/>
  <c r="BJ502" i="1"/>
  <c r="BF502" i="1"/>
  <c r="BD502" i="1"/>
  <c r="AW502" i="1"/>
  <c r="AP502" i="1"/>
  <c r="BI502" i="1" s="1"/>
  <c r="AE502" i="1" s="1"/>
  <c r="AO502" i="1"/>
  <c r="BH502" i="1" s="1"/>
  <c r="AD502" i="1" s="1"/>
  <c r="AK502" i="1"/>
  <c r="AJ502" i="1"/>
  <c r="AH502" i="1"/>
  <c r="AG502" i="1"/>
  <c r="AF502" i="1"/>
  <c r="AC502" i="1"/>
  <c r="AB502" i="1"/>
  <c r="Z502" i="1"/>
  <c r="J502" i="1"/>
  <c r="AL502" i="1" s="1"/>
  <c r="I502" i="1"/>
  <c r="H502" i="1"/>
  <c r="BJ501" i="1"/>
  <c r="BF501" i="1"/>
  <c r="BD501" i="1"/>
  <c r="AW501" i="1"/>
  <c r="AP501" i="1"/>
  <c r="AO501" i="1"/>
  <c r="H501" i="1" s="1"/>
  <c r="AK501" i="1"/>
  <c r="AJ501" i="1"/>
  <c r="AH501" i="1"/>
  <c r="AG501" i="1"/>
  <c r="AF501" i="1"/>
  <c r="AC501" i="1"/>
  <c r="AB501" i="1"/>
  <c r="Z501" i="1"/>
  <c r="J501" i="1"/>
  <c r="AL501" i="1" s="1"/>
  <c r="BJ500" i="1"/>
  <c r="BF500" i="1"/>
  <c r="BD500" i="1"/>
  <c r="AP500" i="1"/>
  <c r="I500" i="1" s="1"/>
  <c r="AO500" i="1"/>
  <c r="BH500" i="1" s="1"/>
  <c r="AD500" i="1" s="1"/>
  <c r="AK500" i="1"/>
  <c r="AJ500" i="1"/>
  <c r="AH500" i="1"/>
  <c r="AG500" i="1"/>
  <c r="AF500" i="1"/>
  <c r="AC500" i="1"/>
  <c r="AB500" i="1"/>
  <c r="Z500" i="1"/>
  <c r="J500" i="1"/>
  <c r="AL500" i="1" s="1"/>
  <c r="BJ499" i="1"/>
  <c r="BI499" i="1"/>
  <c r="AE499" i="1" s="1"/>
  <c r="BF499" i="1"/>
  <c r="BD499" i="1"/>
  <c r="AP499" i="1"/>
  <c r="AO499" i="1"/>
  <c r="AK499" i="1"/>
  <c r="AJ499" i="1"/>
  <c r="AH499" i="1"/>
  <c r="AG499" i="1"/>
  <c r="AF499" i="1"/>
  <c r="AC499" i="1"/>
  <c r="AB499" i="1"/>
  <c r="Z499" i="1"/>
  <c r="J499" i="1"/>
  <c r="AL499" i="1" s="1"/>
  <c r="BJ498" i="1"/>
  <c r="BF498" i="1"/>
  <c r="BD498" i="1"/>
  <c r="AP498" i="1"/>
  <c r="BI498" i="1" s="1"/>
  <c r="AE498" i="1" s="1"/>
  <c r="AO498" i="1"/>
  <c r="BH498" i="1" s="1"/>
  <c r="AD498" i="1" s="1"/>
  <c r="AK498" i="1"/>
  <c r="AJ498" i="1"/>
  <c r="AH498" i="1"/>
  <c r="AG498" i="1"/>
  <c r="AF498" i="1"/>
  <c r="AC498" i="1"/>
  <c r="AB498" i="1"/>
  <c r="Z498" i="1"/>
  <c r="J498" i="1"/>
  <c r="AL498" i="1" s="1"/>
  <c r="I498" i="1"/>
  <c r="H498" i="1"/>
  <c r="BJ497" i="1"/>
  <c r="BF497" i="1"/>
  <c r="BD497" i="1"/>
  <c r="AP497" i="1"/>
  <c r="AO497" i="1"/>
  <c r="AL497" i="1"/>
  <c r="AK497" i="1"/>
  <c r="AJ497" i="1"/>
  <c r="AH497" i="1"/>
  <c r="AG497" i="1"/>
  <c r="AF497" i="1"/>
  <c r="AC497" i="1"/>
  <c r="AB497" i="1"/>
  <c r="Z497" i="1"/>
  <c r="J497" i="1"/>
  <c r="I497" i="1"/>
  <c r="BJ496" i="1"/>
  <c r="BF496" i="1"/>
  <c r="BD496" i="1"/>
  <c r="AP496" i="1"/>
  <c r="AO496" i="1"/>
  <c r="BH496" i="1" s="1"/>
  <c r="AD496" i="1" s="1"/>
  <c r="AK496" i="1"/>
  <c r="AJ496" i="1"/>
  <c r="AH496" i="1"/>
  <c r="AG496" i="1"/>
  <c r="AF496" i="1"/>
  <c r="AC496" i="1"/>
  <c r="AB496" i="1"/>
  <c r="Z496" i="1"/>
  <c r="J496" i="1"/>
  <c r="AL496" i="1" s="1"/>
  <c r="BJ495" i="1"/>
  <c r="BI495" i="1"/>
  <c r="BF495" i="1"/>
  <c r="BD495" i="1"/>
  <c r="AP495" i="1"/>
  <c r="AO495" i="1"/>
  <c r="BH495" i="1" s="1"/>
  <c r="AD495" i="1" s="1"/>
  <c r="AK495" i="1"/>
  <c r="AJ495" i="1"/>
  <c r="AH495" i="1"/>
  <c r="AG495" i="1"/>
  <c r="AF495" i="1"/>
  <c r="AE495" i="1"/>
  <c r="AC495" i="1"/>
  <c r="AB495" i="1"/>
  <c r="Z495" i="1"/>
  <c r="J495" i="1"/>
  <c r="AL495" i="1" s="1"/>
  <c r="BJ494" i="1"/>
  <c r="BF494" i="1"/>
  <c r="BD494" i="1"/>
  <c r="AW494" i="1"/>
  <c r="AP494" i="1"/>
  <c r="BI494" i="1" s="1"/>
  <c r="AE494" i="1" s="1"/>
  <c r="AO494" i="1"/>
  <c r="BH494" i="1" s="1"/>
  <c r="AD494" i="1" s="1"/>
  <c r="AL494" i="1"/>
  <c r="AK494" i="1"/>
  <c r="AJ494" i="1"/>
  <c r="AH494" i="1"/>
  <c r="AG494" i="1"/>
  <c r="AF494" i="1"/>
  <c r="AC494" i="1"/>
  <c r="AB494" i="1"/>
  <c r="Z494" i="1"/>
  <c r="J494" i="1"/>
  <c r="I494" i="1"/>
  <c r="H494" i="1"/>
  <c r="BJ493" i="1"/>
  <c r="BH493" i="1"/>
  <c r="AD493" i="1" s="1"/>
  <c r="BF493" i="1"/>
  <c r="BD493" i="1"/>
  <c r="AX493" i="1"/>
  <c r="AP493" i="1"/>
  <c r="BI493" i="1" s="1"/>
  <c r="AE493" i="1" s="1"/>
  <c r="AO493" i="1"/>
  <c r="H493" i="1" s="1"/>
  <c r="AK493" i="1"/>
  <c r="AJ493" i="1"/>
  <c r="AH493" i="1"/>
  <c r="AG493" i="1"/>
  <c r="AF493" i="1"/>
  <c r="AC493" i="1"/>
  <c r="AB493" i="1"/>
  <c r="Z493" i="1"/>
  <c r="J493" i="1"/>
  <c r="AL493" i="1" s="1"/>
  <c r="BJ492" i="1"/>
  <c r="BF492" i="1"/>
  <c r="BD492" i="1"/>
  <c r="AP492" i="1"/>
  <c r="AO492" i="1"/>
  <c r="BH492" i="1" s="1"/>
  <c r="AD492" i="1" s="1"/>
  <c r="AK492" i="1"/>
  <c r="AJ492" i="1"/>
  <c r="AH492" i="1"/>
  <c r="AG492" i="1"/>
  <c r="AF492" i="1"/>
  <c r="AC492" i="1"/>
  <c r="AB492" i="1"/>
  <c r="Z492" i="1"/>
  <c r="J492" i="1"/>
  <c r="AL492" i="1" s="1"/>
  <c r="BJ491" i="1"/>
  <c r="BI491" i="1"/>
  <c r="AE491" i="1" s="1"/>
  <c r="BF491" i="1"/>
  <c r="BD491" i="1"/>
  <c r="AP491" i="1"/>
  <c r="AO491" i="1"/>
  <c r="AK491" i="1"/>
  <c r="AJ491" i="1"/>
  <c r="AH491" i="1"/>
  <c r="AG491" i="1"/>
  <c r="AF491" i="1"/>
  <c r="AC491" i="1"/>
  <c r="AB491" i="1"/>
  <c r="Z491" i="1"/>
  <c r="J491" i="1"/>
  <c r="AL491" i="1" s="1"/>
  <c r="BJ490" i="1"/>
  <c r="BF490" i="1"/>
  <c r="BD490" i="1"/>
  <c r="AP490" i="1"/>
  <c r="BI490" i="1" s="1"/>
  <c r="AE490" i="1" s="1"/>
  <c r="AO490" i="1"/>
  <c r="AK490" i="1"/>
  <c r="AJ490" i="1"/>
  <c r="AH490" i="1"/>
  <c r="AG490" i="1"/>
  <c r="AF490" i="1"/>
  <c r="AC490" i="1"/>
  <c r="AB490" i="1"/>
  <c r="Z490" i="1"/>
  <c r="J490" i="1"/>
  <c r="AL490" i="1" s="1"/>
  <c r="I490" i="1"/>
  <c r="BJ489" i="1"/>
  <c r="BF489" i="1"/>
  <c r="BD489" i="1"/>
  <c r="AX489" i="1"/>
  <c r="AP489" i="1"/>
  <c r="BI489" i="1" s="1"/>
  <c r="AE489" i="1" s="1"/>
  <c r="AO489" i="1"/>
  <c r="AK489" i="1"/>
  <c r="AJ489" i="1"/>
  <c r="AH489" i="1"/>
  <c r="AG489" i="1"/>
  <c r="AF489" i="1"/>
  <c r="AC489" i="1"/>
  <c r="AB489" i="1"/>
  <c r="Z489" i="1"/>
  <c r="J489" i="1"/>
  <c r="AL489" i="1" s="1"/>
  <c r="I489" i="1"/>
  <c r="BJ488" i="1"/>
  <c r="BF488" i="1"/>
  <c r="BD488" i="1"/>
  <c r="AP488" i="1"/>
  <c r="AO488" i="1"/>
  <c r="BH488" i="1" s="1"/>
  <c r="AK488" i="1"/>
  <c r="AJ488" i="1"/>
  <c r="AH488" i="1"/>
  <c r="AG488" i="1"/>
  <c r="AF488" i="1"/>
  <c r="AD488" i="1"/>
  <c r="AC488" i="1"/>
  <c r="AB488" i="1"/>
  <c r="Z488" i="1"/>
  <c r="J488" i="1"/>
  <c r="AL488" i="1" s="1"/>
  <c r="BJ487" i="1"/>
  <c r="BF487" i="1"/>
  <c r="BD487" i="1"/>
  <c r="AP487" i="1"/>
  <c r="BI487" i="1" s="1"/>
  <c r="AE487" i="1" s="1"/>
  <c r="AO487" i="1"/>
  <c r="AK487" i="1"/>
  <c r="AJ487" i="1"/>
  <c r="AH487" i="1"/>
  <c r="AG487" i="1"/>
  <c r="AF487" i="1"/>
  <c r="AC487" i="1"/>
  <c r="AB487" i="1"/>
  <c r="Z487" i="1"/>
  <c r="J487" i="1"/>
  <c r="AL487" i="1" s="1"/>
  <c r="BJ486" i="1"/>
  <c r="BF486" i="1"/>
  <c r="BD486" i="1"/>
  <c r="AP486" i="1"/>
  <c r="BI486" i="1" s="1"/>
  <c r="AE486" i="1" s="1"/>
  <c r="AO486" i="1"/>
  <c r="AK486" i="1"/>
  <c r="AJ486" i="1"/>
  <c r="AH486" i="1"/>
  <c r="AG486" i="1"/>
  <c r="AF486" i="1"/>
  <c r="AC486" i="1"/>
  <c r="AB486" i="1"/>
  <c r="Z486" i="1"/>
  <c r="J486" i="1"/>
  <c r="AL486" i="1" s="1"/>
  <c r="I486" i="1"/>
  <c r="H486" i="1"/>
  <c r="BJ485" i="1"/>
  <c r="BF485" i="1"/>
  <c r="BD485" i="1"/>
  <c r="AP485" i="1"/>
  <c r="AO485" i="1"/>
  <c r="AK485" i="1"/>
  <c r="AJ485" i="1"/>
  <c r="AH485" i="1"/>
  <c r="AG485" i="1"/>
  <c r="AF485" i="1"/>
  <c r="AC485" i="1"/>
  <c r="AB485" i="1"/>
  <c r="Z485" i="1"/>
  <c r="J485" i="1"/>
  <c r="AL485" i="1" s="1"/>
  <c r="BJ484" i="1"/>
  <c r="BI484" i="1"/>
  <c r="AE484" i="1" s="1"/>
  <c r="BF484" i="1"/>
  <c r="BD484" i="1"/>
  <c r="AX484" i="1"/>
  <c r="AP484" i="1"/>
  <c r="AO484" i="1"/>
  <c r="AK484" i="1"/>
  <c r="AJ484" i="1"/>
  <c r="AH484" i="1"/>
  <c r="AG484" i="1"/>
  <c r="AF484" i="1"/>
  <c r="AC484" i="1"/>
  <c r="AB484" i="1"/>
  <c r="Z484" i="1"/>
  <c r="J484" i="1"/>
  <c r="I484" i="1"/>
  <c r="BJ483" i="1"/>
  <c r="BF483" i="1"/>
  <c r="BD483" i="1"/>
  <c r="AP483" i="1"/>
  <c r="AO483" i="1"/>
  <c r="AW483" i="1" s="1"/>
  <c r="AK483" i="1"/>
  <c r="AJ483" i="1"/>
  <c r="AH483" i="1"/>
  <c r="AG483" i="1"/>
  <c r="AF483" i="1"/>
  <c r="AC483" i="1"/>
  <c r="AB483" i="1"/>
  <c r="Z483" i="1"/>
  <c r="J483" i="1"/>
  <c r="AL483" i="1" s="1"/>
  <c r="H483" i="1"/>
  <c r="BJ482" i="1"/>
  <c r="BF482" i="1"/>
  <c r="BD482" i="1"/>
  <c r="AW482" i="1"/>
  <c r="AP482" i="1"/>
  <c r="AO482" i="1"/>
  <c r="BH482" i="1" s="1"/>
  <c r="AD482" i="1" s="1"/>
  <c r="AL482" i="1"/>
  <c r="AK482" i="1"/>
  <c r="AJ482" i="1"/>
  <c r="AH482" i="1"/>
  <c r="AG482" i="1"/>
  <c r="AF482" i="1"/>
  <c r="AC482" i="1"/>
  <c r="AB482" i="1"/>
  <c r="Z482" i="1"/>
  <c r="J482" i="1"/>
  <c r="I482" i="1"/>
  <c r="H482" i="1"/>
  <c r="BJ481" i="1"/>
  <c r="BF481" i="1"/>
  <c r="BD481" i="1"/>
  <c r="AX481" i="1"/>
  <c r="AP481" i="1"/>
  <c r="BI481" i="1" s="1"/>
  <c r="AE481" i="1" s="1"/>
  <c r="AO481" i="1"/>
  <c r="BH481" i="1" s="1"/>
  <c r="AD481" i="1" s="1"/>
  <c r="AK481" i="1"/>
  <c r="AJ481" i="1"/>
  <c r="AH481" i="1"/>
  <c r="AG481" i="1"/>
  <c r="AF481" i="1"/>
  <c r="AC481" i="1"/>
  <c r="AB481" i="1"/>
  <c r="Z481" i="1"/>
  <c r="J481" i="1"/>
  <c r="AL481" i="1" s="1"/>
  <c r="I481" i="1"/>
  <c r="BJ479" i="1"/>
  <c r="Z479" i="1" s="1"/>
  <c r="BF479" i="1"/>
  <c r="BD479" i="1"/>
  <c r="AP479" i="1"/>
  <c r="AX479" i="1" s="1"/>
  <c r="AO479" i="1"/>
  <c r="AK479" i="1"/>
  <c r="AJ479" i="1"/>
  <c r="AH479" i="1"/>
  <c r="AG479" i="1"/>
  <c r="AF479" i="1"/>
  <c r="AE479" i="1"/>
  <c r="AD479" i="1"/>
  <c r="AC479" i="1"/>
  <c r="AB479" i="1"/>
  <c r="J479" i="1"/>
  <c r="AL479" i="1" s="1"/>
  <c r="I479" i="1"/>
  <c r="BJ478" i="1"/>
  <c r="BH478" i="1"/>
  <c r="AD478" i="1" s="1"/>
  <c r="BF478" i="1"/>
  <c r="BD478" i="1"/>
  <c r="AX478" i="1"/>
  <c r="AW478" i="1"/>
  <c r="AP478" i="1"/>
  <c r="BI478" i="1" s="1"/>
  <c r="AE478" i="1" s="1"/>
  <c r="AO478" i="1"/>
  <c r="AK478" i="1"/>
  <c r="AJ478" i="1"/>
  <c r="AH478" i="1"/>
  <c r="AG478" i="1"/>
  <c r="AF478" i="1"/>
  <c r="AC478" i="1"/>
  <c r="AB478" i="1"/>
  <c r="Z478" i="1"/>
  <c r="J478" i="1"/>
  <c r="AL478" i="1" s="1"/>
  <c r="I478" i="1"/>
  <c r="H478" i="1"/>
  <c r="BJ477" i="1"/>
  <c r="BF477" i="1"/>
  <c r="BD477" i="1"/>
  <c r="AW477" i="1"/>
  <c r="AP477" i="1"/>
  <c r="AO477" i="1"/>
  <c r="H477" i="1" s="1"/>
  <c r="AK477" i="1"/>
  <c r="AJ477" i="1"/>
  <c r="AH477" i="1"/>
  <c r="AG477" i="1"/>
  <c r="AF477" i="1"/>
  <c r="AC477" i="1"/>
  <c r="AB477" i="1"/>
  <c r="Z477" i="1"/>
  <c r="J477" i="1"/>
  <c r="AL477" i="1" s="1"/>
  <c r="BJ476" i="1"/>
  <c r="BH476" i="1"/>
  <c r="AD476" i="1" s="1"/>
  <c r="BF476" i="1"/>
  <c r="BD476" i="1"/>
  <c r="AP476" i="1"/>
  <c r="AO476" i="1"/>
  <c r="AW476" i="1" s="1"/>
  <c r="AK476" i="1"/>
  <c r="AJ476" i="1"/>
  <c r="AH476" i="1"/>
  <c r="AG476" i="1"/>
  <c r="AF476" i="1"/>
  <c r="AC476" i="1"/>
  <c r="AB476" i="1"/>
  <c r="Z476" i="1"/>
  <c r="J476" i="1"/>
  <c r="BJ474" i="1"/>
  <c r="BF474" i="1"/>
  <c r="BD474" i="1"/>
  <c r="AP474" i="1"/>
  <c r="AO474" i="1"/>
  <c r="AK474" i="1"/>
  <c r="AJ474" i="1"/>
  <c r="AH474" i="1"/>
  <c r="AG474" i="1"/>
  <c r="AF474" i="1"/>
  <c r="AE474" i="1"/>
  <c r="AD474" i="1"/>
  <c r="AC474" i="1"/>
  <c r="AB474" i="1"/>
  <c r="Z474" i="1"/>
  <c r="J474" i="1"/>
  <c r="AL474" i="1" s="1"/>
  <c r="BJ473" i="1"/>
  <c r="BH473" i="1"/>
  <c r="AD473" i="1" s="1"/>
  <c r="BF473" i="1"/>
  <c r="BD473" i="1"/>
  <c r="AP473" i="1"/>
  <c r="I473" i="1" s="1"/>
  <c r="AO473" i="1"/>
  <c r="AW473" i="1" s="1"/>
  <c r="AK473" i="1"/>
  <c r="AJ473" i="1"/>
  <c r="AH473" i="1"/>
  <c r="AG473" i="1"/>
  <c r="AF473" i="1"/>
  <c r="AC473" i="1"/>
  <c r="AB473" i="1"/>
  <c r="Z473" i="1"/>
  <c r="J473" i="1"/>
  <c r="AL473" i="1" s="1"/>
  <c r="H473" i="1"/>
  <c r="BJ472" i="1"/>
  <c r="BF472" i="1"/>
  <c r="BD472" i="1"/>
  <c r="AP472" i="1"/>
  <c r="AO472" i="1"/>
  <c r="AK472" i="1"/>
  <c r="AJ472" i="1"/>
  <c r="AH472" i="1"/>
  <c r="AG472" i="1"/>
  <c r="AF472" i="1"/>
  <c r="AC472" i="1"/>
  <c r="AB472" i="1"/>
  <c r="Z472" i="1"/>
  <c r="J472" i="1"/>
  <c r="BJ470" i="1"/>
  <c r="BH470" i="1"/>
  <c r="BF470" i="1"/>
  <c r="BD470" i="1"/>
  <c r="AP470" i="1"/>
  <c r="AX470" i="1" s="1"/>
  <c r="AV470" i="1" s="1"/>
  <c r="AO470" i="1"/>
  <c r="AW470" i="1" s="1"/>
  <c r="AK470" i="1"/>
  <c r="AJ470" i="1"/>
  <c r="AH470" i="1"/>
  <c r="AG470" i="1"/>
  <c r="AF470" i="1"/>
  <c r="AD470" i="1"/>
  <c r="AC470" i="1"/>
  <c r="AB470" i="1"/>
  <c r="Z470" i="1"/>
  <c r="J470" i="1"/>
  <c r="AL470" i="1" s="1"/>
  <c r="H470" i="1"/>
  <c r="BJ469" i="1"/>
  <c r="BI469" i="1"/>
  <c r="AE469" i="1" s="1"/>
  <c r="BF469" i="1"/>
  <c r="BD469" i="1"/>
  <c r="AW469" i="1"/>
  <c r="BC469" i="1" s="1"/>
  <c r="AV469" i="1"/>
  <c r="AP469" i="1"/>
  <c r="AX469" i="1" s="1"/>
  <c r="AO469" i="1"/>
  <c r="BH469" i="1" s="1"/>
  <c r="AD469" i="1" s="1"/>
  <c r="AK469" i="1"/>
  <c r="AJ469" i="1"/>
  <c r="AH469" i="1"/>
  <c r="AG469" i="1"/>
  <c r="AF469" i="1"/>
  <c r="AC469" i="1"/>
  <c r="AB469" i="1"/>
  <c r="Z469" i="1"/>
  <c r="J469" i="1"/>
  <c r="AL469" i="1" s="1"/>
  <c r="I469" i="1"/>
  <c r="H469" i="1"/>
  <c r="BJ468" i="1"/>
  <c r="BF468" i="1"/>
  <c r="BD468" i="1"/>
  <c r="AP468" i="1"/>
  <c r="AO468" i="1"/>
  <c r="AK468" i="1"/>
  <c r="AJ468" i="1"/>
  <c r="AH468" i="1"/>
  <c r="AG468" i="1"/>
  <c r="AF468" i="1"/>
  <c r="AC468" i="1"/>
  <c r="AB468" i="1"/>
  <c r="Z468" i="1"/>
  <c r="J468" i="1"/>
  <c r="AL468" i="1" s="1"/>
  <c r="BJ467" i="1"/>
  <c r="BH467" i="1"/>
  <c r="AD467" i="1" s="1"/>
  <c r="BF467" i="1"/>
  <c r="BD467" i="1"/>
  <c r="AP467" i="1"/>
  <c r="BI467" i="1" s="1"/>
  <c r="AO467" i="1"/>
  <c r="H467" i="1" s="1"/>
  <c r="AK467" i="1"/>
  <c r="AJ467" i="1"/>
  <c r="AH467" i="1"/>
  <c r="AG467" i="1"/>
  <c r="AF467" i="1"/>
  <c r="AE467" i="1"/>
  <c r="AC467" i="1"/>
  <c r="AB467" i="1"/>
  <c r="Z467" i="1"/>
  <c r="J467" i="1"/>
  <c r="AL467" i="1" s="1"/>
  <c r="BJ466" i="1"/>
  <c r="BI466" i="1"/>
  <c r="AE466" i="1" s="1"/>
  <c r="BF466" i="1"/>
  <c r="BD466" i="1"/>
  <c r="AX466" i="1"/>
  <c r="AP466" i="1"/>
  <c r="I466" i="1" s="1"/>
  <c r="AO466" i="1"/>
  <c r="AK466" i="1"/>
  <c r="AJ466" i="1"/>
  <c r="AH466" i="1"/>
  <c r="AG466" i="1"/>
  <c r="AF466" i="1"/>
  <c r="AC466" i="1"/>
  <c r="AB466" i="1"/>
  <c r="Z466" i="1"/>
  <c r="J466" i="1"/>
  <c r="AL466" i="1" s="1"/>
  <c r="BJ465" i="1"/>
  <c r="BF465" i="1"/>
  <c r="BD465" i="1"/>
  <c r="AW465" i="1"/>
  <c r="AP465" i="1"/>
  <c r="AO465" i="1"/>
  <c r="BH465" i="1" s="1"/>
  <c r="AD465" i="1" s="1"/>
  <c r="AK465" i="1"/>
  <c r="AJ465" i="1"/>
  <c r="AH465" i="1"/>
  <c r="AG465" i="1"/>
  <c r="AF465" i="1"/>
  <c r="AC465" i="1"/>
  <c r="AB465" i="1"/>
  <c r="Z465" i="1"/>
  <c r="J465" i="1"/>
  <c r="AL465" i="1" s="1"/>
  <c r="H465" i="1"/>
  <c r="BJ464" i="1"/>
  <c r="BF464" i="1"/>
  <c r="BD464" i="1"/>
  <c r="AP464" i="1"/>
  <c r="BI464" i="1" s="1"/>
  <c r="AE464" i="1" s="1"/>
  <c r="AO464" i="1"/>
  <c r="AK464" i="1"/>
  <c r="AJ464" i="1"/>
  <c r="AH464" i="1"/>
  <c r="AG464" i="1"/>
  <c r="AF464" i="1"/>
  <c r="AC464" i="1"/>
  <c r="AB464" i="1"/>
  <c r="Z464" i="1"/>
  <c r="J464" i="1"/>
  <c r="AL464" i="1" s="1"/>
  <c r="BJ463" i="1"/>
  <c r="BF463" i="1"/>
  <c r="BD463" i="1"/>
  <c r="AP463" i="1"/>
  <c r="AX463" i="1" s="1"/>
  <c r="AO463" i="1"/>
  <c r="AW463" i="1" s="1"/>
  <c r="AK463" i="1"/>
  <c r="AJ463" i="1"/>
  <c r="AH463" i="1"/>
  <c r="AG463" i="1"/>
  <c r="AF463" i="1"/>
  <c r="AC463" i="1"/>
  <c r="AB463" i="1"/>
  <c r="Z463" i="1"/>
  <c r="J463" i="1"/>
  <c r="AL463" i="1" s="1"/>
  <c r="BJ462" i="1"/>
  <c r="BF462" i="1"/>
  <c r="BD462" i="1"/>
  <c r="AX462" i="1"/>
  <c r="AP462" i="1"/>
  <c r="AO462" i="1"/>
  <c r="AW462" i="1" s="1"/>
  <c r="BC462" i="1" s="1"/>
  <c r="AK462" i="1"/>
  <c r="AJ462" i="1"/>
  <c r="AH462" i="1"/>
  <c r="AG462" i="1"/>
  <c r="AF462" i="1"/>
  <c r="AC462" i="1"/>
  <c r="AB462" i="1"/>
  <c r="Z462" i="1"/>
  <c r="J462" i="1"/>
  <c r="AL462" i="1" s="1"/>
  <c r="BJ461" i="1"/>
  <c r="BF461" i="1"/>
  <c r="BD461" i="1"/>
  <c r="BC461" i="1"/>
  <c r="AW461" i="1"/>
  <c r="AV461" i="1" s="1"/>
  <c r="AP461" i="1"/>
  <c r="AX461" i="1" s="1"/>
  <c r="AO461" i="1"/>
  <c r="BH461" i="1" s="1"/>
  <c r="AD461" i="1" s="1"/>
  <c r="AL461" i="1"/>
  <c r="AK461" i="1"/>
  <c r="AJ461" i="1"/>
  <c r="AH461" i="1"/>
  <c r="AG461" i="1"/>
  <c r="AF461" i="1"/>
  <c r="AC461" i="1"/>
  <c r="AB461" i="1"/>
  <c r="Z461" i="1"/>
  <c r="J461" i="1"/>
  <c r="I461" i="1"/>
  <c r="H461" i="1"/>
  <c r="BJ460" i="1"/>
  <c r="BF460" i="1"/>
  <c r="BD460" i="1"/>
  <c r="AP460" i="1"/>
  <c r="BI460" i="1" s="1"/>
  <c r="AE460" i="1" s="1"/>
  <c r="AO460" i="1"/>
  <c r="AK460" i="1"/>
  <c r="AJ460" i="1"/>
  <c r="AH460" i="1"/>
  <c r="AG460" i="1"/>
  <c r="AF460" i="1"/>
  <c r="AC460" i="1"/>
  <c r="AB460" i="1"/>
  <c r="Z460" i="1"/>
  <c r="J460" i="1"/>
  <c r="AL460" i="1" s="1"/>
  <c r="I460" i="1"/>
  <c r="BJ459" i="1"/>
  <c r="BF459" i="1"/>
  <c r="BD459" i="1"/>
  <c r="AP459" i="1"/>
  <c r="AO459" i="1"/>
  <c r="H459" i="1" s="1"/>
  <c r="AL459" i="1"/>
  <c r="AK459" i="1"/>
  <c r="AJ459" i="1"/>
  <c r="AH459" i="1"/>
  <c r="AG459" i="1"/>
  <c r="AF459" i="1"/>
  <c r="AC459" i="1"/>
  <c r="AB459" i="1"/>
  <c r="Z459" i="1"/>
  <c r="J459" i="1"/>
  <c r="BJ458" i="1"/>
  <c r="BI458" i="1"/>
  <c r="AE458" i="1" s="1"/>
  <c r="BF458" i="1"/>
  <c r="BD458" i="1"/>
  <c r="AP458" i="1"/>
  <c r="I458" i="1" s="1"/>
  <c r="AO458" i="1"/>
  <c r="AK458" i="1"/>
  <c r="AJ458" i="1"/>
  <c r="AH458" i="1"/>
  <c r="AG458" i="1"/>
  <c r="AF458" i="1"/>
  <c r="AC458" i="1"/>
  <c r="AB458" i="1"/>
  <c r="Z458" i="1"/>
  <c r="J458" i="1"/>
  <c r="AL458" i="1" s="1"/>
  <c r="H458" i="1"/>
  <c r="BJ457" i="1"/>
  <c r="BF457" i="1"/>
  <c r="BD457" i="1"/>
  <c r="AP457" i="1"/>
  <c r="AO457" i="1"/>
  <c r="AL457" i="1"/>
  <c r="AK457" i="1"/>
  <c r="AJ457" i="1"/>
  <c r="AH457" i="1"/>
  <c r="AG457" i="1"/>
  <c r="AF457" i="1"/>
  <c r="AC457" i="1"/>
  <c r="AB457" i="1"/>
  <c r="Z457" i="1"/>
  <c r="J457" i="1"/>
  <c r="BJ456" i="1"/>
  <c r="BH456" i="1"/>
  <c r="AD456" i="1" s="1"/>
  <c r="BF456" i="1"/>
  <c r="BD456" i="1"/>
  <c r="AX456" i="1"/>
  <c r="AW456" i="1"/>
  <c r="AP456" i="1"/>
  <c r="BI456" i="1" s="1"/>
  <c r="AE456" i="1" s="1"/>
  <c r="AO456" i="1"/>
  <c r="AL456" i="1"/>
  <c r="AK456" i="1"/>
  <c r="AJ456" i="1"/>
  <c r="AH456" i="1"/>
  <c r="AG456" i="1"/>
  <c r="AF456" i="1"/>
  <c r="AC456" i="1"/>
  <c r="AB456" i="1"/>
  <c r="Z456" i="1"/>
  <c r="J456" i="1"/>
  <c r="I456" i="1"/>
  <c r="H456" i="1"/>
  <c r="BJ455" i="1"/>
  <c r="BI455" i="1"/>
  <c r="AE455" i="1" s="1"/>
  <c r="BF455" i="1"/>
  <c r="BD455" i="1"/>
  <c r="AX455" i="1"/>
  <c r="AP455" i="1"/>
  <c r="AO455" i="1"/>
  <c r="AW455" i="1" s="1"/>
  <c r="AK455" i="1"/>
  <c r="AJ455" i="1"/>
  <c r="AH455" i="1"/>
  <c r="AG455" i="1"/>
  <c r="AF455" i="1"/>
  <c r="AC455" i="1"/>
  <c r="AB455" i="1"/>
  <c r="Z455" i="1"/>
  <c r="J455" i="1"/>
  <c r="AL455" i="1" s="1"/>
  <c r="I455" i="1"/>
  <c r="BJ454" i="1"/>
  <c r="BF454" i="1"/>
  <c r="BD454" i="1"/>
  <c r="AP454" i="1"/>
  <c r="AX454" i="1" s="1"/>
  <c r="AV454" i="1" s="1"/>
  <c r="AO454" i="1"/>
  <c r="AW454" i="1" s="1"/>
  <c r="AK454" i="1"/>
  <c r="AJ454" i="1"/>
  <c r="AH454" i="1"/>
  <c r="AG454" i="1"/>
  <c r="AF454" i="1"/>
  <c r="AC454" i="1"/>
  <c r="AB454" i="1"/>
  <c r="Z454" i="1"/>
  <c r="J454" i="1"/>
  <c r="AL454" i="1" s="1"/>
  <c r="H454" i="1"/>
  <c r="BJ453" i="1"/>
  <c r="BF453" i="1"/>
  <c r="BD453" i="1"/>
  <c r="AW453" i="1"/>
  <c r="AP453" i="1"/>
  <c r="AO453" i="1"/>
  <c r="BH453" i="1" s="1"/>
  <c r="AD453" i="1" s="1"/>
  <c r="AK453" i="1"/>
  <c r="AJ453" i="1"/>
  <c r="AH453" i="1"/>
  <c r="AG453" i="1"/>
  <c r="AF453" i="1"/>
  <c r="AC453" i="1"/>
  <c r="AB453" i="1"/>
  <c r="Z453" i="1"/>
  <c r="J453" i="1"/>
  <c r="AL453" i="1" s="1"/>
  <c r="H453" i="1"/>
  <c r="BJ452" i="1"/>
  <c r="BF452" i="1"/>
  <c r="BD452" i="1"/>
  <c r="AP452" i="1"/>
  <c r="BI452" i="1" s="1"/>
  <c r="AE452" i="1" s="1"/>
  <c r="AO452" i="1"/>
  <c r="AW452" i="1" s="1"/>
  <c r="AK452" i="1"/>
  <c r="AJ452" i="1"/>
  <c r="AH452" i="1"/>
  <c r="AG452" i="1"/>
  <c r="AF452" i="1"/>
  <c r="AC452" i="1"/>
  <c r="AB452" i="1"/>
  <c r="Z452" i="1"/>
  <c r="J452" i="1"/>
  <c r="AL452" i="1" s="1"/>
  <c r="I452" i="1"/>
  <c r="H452" i="1"/>
  <c r="BJ451" i="1"/>
  <c r="BI451" i="1"/>
  <c r="AE451" i="1" s="1"/>
  <c r="BF451" i="1"/>
  <c r="BD451" i="1"/>
  <c r="AP451" i="1"/>
  <c r="AX451" i="1" s="1"/>
  <c r="AO451" i="1"/>
  <c r="BH451" i="1" s="1"/>
  <c r="AD451" i="1" s="1"/>
  <c r="AL451" i="1"/>
  <c r="AK451" i="1"/>
  <c r="AJ451" i="1"/>
  <c r="AH451" i="1"/>
  <c r="AG451" i="1"/>
  <c r="AF451" i="1"/>
  <c r="AC451" i="1"/>
  <c r="AB451" i="1"/>
  <c r="Z451" i="1"/>
  <c r="J451" i="1"/>
  <c r="BJ450" i="1"/>
  <c r="BH450" i="1"/>
  <c r="AD450" i="1" s="1"/>
  <c r="BF450" i="1"/>
  <c r="BD450" i="1"/>
  <c r="AX450" i="1"/>
  <c r="AP450" i="1"/>
  <c r="BI450" i="1" s="1"/>
  <c r="AE450" i="1" s="1"/>
  <c r="AO450" i="1"/>
  <c r="AW450" i="1" s="1"/>
  <c r="AK450" i="1"/>
  <c r="AJ450" i="1"/>
  <c r="AH450" i="1"/>
  <c r="AG450" i="1"/>
  <c r="AF450" i="1"/>
  <c r="AC450" i="1"/>
  <c r="AB450" i="1"/>
  <c r="Z450" i="1"/>
  <c r="J450" i="1"/>
  <c r="AL450" i="1" s="1"/>
  <c r="BJ449" i="1"/>
  <c r="BI449" i="1"/>
  <c r="AE449" i="1" s="1"/>
  <c r="BF449" i="1"/>
  <c r="BD449" i="1"/>
  <c r="AW449" i="1"/>
  <c r="AP449" i="1"/>
  <c r="AX449" i="1" s="1"/>
  <c r="AO449" i="1"/>
  <c r="BH449" i="1" s="1"/>
  <c r="AD449" i="1" s="1"/>
  <c r="AK449" i="1"/>
  <c r="AJ449" i="1"/>
  <c r="AH449" i="1"/>
  <c r="AG449" i="1"/>
  <c r="AF449" i="1"/>
  <c r="AC449" i="1"/>
  <c r="AB449" i="1"/>
  <c r="Z449" i="1"/>
  <c r="J449" i="1"/>
  <c r="AL449" i="1" s="1"/>
  <c r="H449" i="1"/>
  <c r="BJ448" i="1"/>
  <c r="BH448" i="1"/>
  <c r="AD448" i="1" s="1"/>
  <c r="BF448" i="1"/>
  <c r="BD448" i="1"/>
  <c r="AX448" i="1"/>
  <c r="AV448" i="1" s="1"/>
  <c r="AP448" i="1"/>
  <c r="BI448" i="1" s="1"/>
  <c r="AE448" i="1" s="1"/>
  <c r="AO448" i="1"/>
  <c r="AW448" i="1" s="1"/>
  <c r="AK448" i="1"/>
  <c r="AJ448" i="1"/>
  <c r="AH448" i="1"/>
  <c r="AG448" i="1"/>
  <c r="AF448" i="1"/>
  <c r="AC448" i="1"/>
  <c r="AB448" i="1"/>
  <c r="Z448" i="1"/>
  <c r="J448" i="1"/>
  <c r="AL448" i="1" s="1"/>
  <c r="I448" i="1"/>
  <c r="H448" i="1"/>
  <c r="BJ447" i="1"/>
  <c r="BF447" i="1"/>
  <c r="BD447" i="1"/>
  <c r="AP447" i="1"/>
  <c r="AX447" i="1" s="1"/>
  <c r="AO447" i="1"/>
  <c r="BH447" i="1" s="1"/>
  <c r="AD447" i="1" s="1"/>
  <c r="AK447" i="1"/>
  <c r="AJ447" i="1"/>
  <c r="AH447" i="1"/>
  <c r="AG447" i="1"/>
  <c r="AF447" i="1"/>
  <c r="AC447" i="1"/>
  <c r="AB447" i="1"/>
  <c r="Z447" i="1"/>
  <c r="J447" i="1"/>
  <c r="AL447" i="1" s="1"/>
  <c r="BJ446" i="1"/>
  <c r="BF446" i="1"/>
  <c r="BD446" i="1"/>
  <c r="AP446" i="1"/>
  <c r="BI446" i="1" s="1"/>
  <c r="AE446" i="1" s="1"/>
  <c r="AO446" i="1"/>
  <c r="AK446" i="1"/>
  <c r="AJ446" i="1"/>
  <c r="AH446" i="1"/>
  <c r="AG446" i="1"/>
  <c r="AF446" i="1"/>
  <c r="AC446" i="1"/>
  <c r="AB446" i="1"/>
  <c r="Z446" i="1"/>
  <c r="J446" i="1"/>
  <c r="AL446" i="1" s="1"/>
  <c r="BJ445" i="1"/>
  <c r="BF445" i="1"/>
  <c r="BD445" i="1"/>
  <c r="AP445" i="1"/>
  <c r="AX445" i="1" s="1"/>
  <c r="AO445" i="1"/>
  <c r="BH445" i="1" s="1"/>
  <c r="AD445" i="1" s="1"/>
  <c r="AL445" i="1"/>
  <c r="AK445" i="1"/>
  <c r="AJ445" i="1"/>
  <c r="AH445" i="1"/>
  <c r="AG445" i="1"/>
  <c r="AF445" i="1"/>
  <c r="AC445" i="1"/>
  <c r="AB445" i="1"/>
  <c r="Z445" i="1"/>
  <c r="J445" i="1"/>
  <c r="BJ444" i="1"/>
  <c r="BF444" i="1"/>
  <c r="BD444" i="1"/>
  <c r="AP444" i="1"/>
  <c r="BI444" i="1" s="1"/>
  <c r="AE444" i="1" s="1"/>
  <c r="AO444" i="1"/>
  <c r="AK444" i="1"/>
  <c r="AJ444" i="1"/>
  <c r="AH444" i="1"/>
  <c r="AG444" i="1"/>
  <c r="AF444" i="1"/>
  <c r="AC444" i="1"/>
  <c r="AB444" i="1"/>
  <c r="Z444" i="1"/>
  <c r="J444" i="1"/>
  <c r="AL444" i="1" s="1"/>
  <c r="I444" i="1"/>
  <c r="H444" i="1"/>
  <c r="BJ443" i="1"/>
  <c r="BI443" i="1"/>
  <c r="AE443" i="1" s="1"/>
  <c r="BF443" i="1"/>
  <c r="BD443" i="1"/>
  <c r="AW443" i="1"/>
  <c r="AV443" i="1" s="1"/>
  <c r="AP443" i="1"/>
  <c r="AX443" i="1" s="1"/>
  <c r="AO443" i="1"/>
  <c r="BH443" i="1" s="1"/>
  <c r="AD443" i="1" s="1"/>
  <c r="AK443" i="1"/>
  <c r="AJ443" i="1"/>
  <c r="AH443" i="1"/>
  <c r="AG443" i="1"/>
  <c r="AF443" i="1"/>
  <c r="AC443" i="1"/>
  <c r="AB443" i="1"/>
  <c r="Z443" i="1"/>
  <c r="J443" i="1"/>
  <c r="AL443" i="1" s="1"/>
  <c r="BJ442" i="1"/>
  <c r="BH442" i="1"/>
  <c r="BF442" i="1"/>
  <c r="BD442" i="1"/>
  <c r="AP442" i="1"/>
  <c r="AO442" i="1"/>
  <c r="AW442" i="1" s="1"/>
  <c r="AK442" i="1"/>
  <c r="AJ442" i="1"/>
  <c r="AH442" i="1"/>
  <c r="AG442" i="1"/>
  <c r="AF442" i="1"/>
  <c r="AD442" i="1"/>
  <c r="AC442" i="1"/>
  <c r="AB442" i="1"/>
  <c r="Z442" i="1"/>
  <c r="J442" i="1"/>
  <c r="AL442" i="1" s="1"/>
  <c r="H442" i="1"/>
  <c r="BJ441" i="1"/>
  <c r="BI441" i="1"/>
  <c r="AE441" i="1" s="1"/>
  <c r="BF441" i="1"/>
  <c r="BD441" i="1"/>
  <c r="AP441" i="1"/>
  <c r="AX441" i="1" s="1"/>
  <c r="AO441" i="1"/>
  <c r="BH441" i="1" s="1"/>
  <c r="AD441" i="1" s="1"/>
  <c r="AL441" i="1"/>
  <c r="AK441" i="1"/>
  <c r="AJ441" i="1"/>
  <c r="AH441" i="1"/>
  <c r="AG441" i="1"/>
  <c r="AF441" i="1"/>
  <c r="AC441" i="1"/>
  <c r="AB441" i="1"/>
  <c r="Z441" i="1"/>
  <c r="J441" i="1"/>
  <c r="H441" i="1"/>
  <c r="BJ440" i="1"/>
  <c r="BH440" i="1"/>
  <c r="BF440" i="1"/>
  <c r="BD440" i="1"/>
  <c r="AP440" i="1"/>
  <c r="AO440" i="1"/>
  <c r="AW440" i="1" s="1"/>
  <c r="AK440" i="1"/>
  <c r="AJ440" i="1"/>
  <c r="AH440" i="1"/>
  <c r="AG440" i="1"/>
  <c r="AF440" i="1"/>
  <c r="AD440" i="1"/>
  <c r="AC440" i="1"/>
  <c r="AB440" i="1"/>
  <c r="Z440" i="1"/>
  <c r="J440" i="1"/>
  <c r="AL440" i="1" s="1"/>
  <c r="H440" i="1"/>
  <c r="BJ439" i="1"/>
  <c r="BI439" i="1"/>
  <c r="AE439" i="1" s="1"/>
  <c r="BF439" i="1"/>
  <c r="BD439" i="1"/>
  <c r="AP439" i="1"/>
  <c r="AX439" i="1" s="1"/>
  <c r="AO439" i="1"/>
  <c r="BH439" i="1" s="1"/>
  <c r="AD439" i="1" s="1"/>
  <c r="AK439" i="1"/>
  <c r="AJ439" i="1"/>
  <c r="AH439" i="1"/>
  <c r="AG439" i="1"/>
  <c r="AF439" i="1"/>
  <c r="AC439" i="1"/>
  <c r="AB439" i="1"/>
  <c r="Z439" i="1"/>
  <c r="J439" i="1"/>
  <c r="AL439" i="1" s="1"/>
  <c r="BJ438" i="1"/>
  <c r="BF438" i="1"/>
  <c r="BD438" i="1"/>
  <c r="AX438" i="1"/>
  <c r="AP438" i="1"/>
  <c r="BI438" i="1" s="1"/>
  <c r="AE438" i="1" s="1"/>
  <c r="AO438" i="1"/>
  <c r="AK438" i="1"/>
  <c r="AJ438" i="1"/>
  <c r="AH438" i="1"/>
  <c r="AG438" i="1"/>
  <c r="AF438" i="1"/>
  <c r="AC438" i="1"/>
  <c r="AB438" i="1"/>
  <c r="Z438" i="1"/>
  <c r="J438" i="1"/>
  <c r="AL438" i="1" s="1"/>
  <c r="BJ437" i="1"/>
  <c r="BI437" i="1"/>
  <c r="AE437" i="1" s="1"/>
  <c r="BF437" i="1"/>
  <c r="BD437" i="1"/>
  <c r="AW437" i="1"/>
  <c r="AP437" i="1"/>
  <c r="AX437" i="1" s="1"/>
  <c r="AO437" i="1"/>
  <c r="BH437" i="1" s="1"/>
  <c r="AD437" i="1" s="1"/>
  <c r="AK437" i="1"/>
  <c r="AJ437" i="1"/>
  <c r="AH437" i="1"/>
  <c r="AG437" i="1"/>
  <c r="AF437" i="1"/>
  <c r="AC437" i="1"/>
  <c r="AB437" i="1"/>
  <c r="Z437" i="1"/>
  <c r="J437" i="1"/>
  <c r="AL437" i="1" s="1"/>
  <c r="H437" i="1"/>
  <c r="BJ436" i="1"/>
  <c r="BF436" i="1"/>
  <c r="BD436" i="1"/>
  <c r="AX436" i="1"/>
  <c r="AP436" i="1"/>
  <c r="BI436" i="1" s="1"/>
  <c r="AE436" i="1" s="1"/>
  <c r="AO436" i="1"/>
  <c r="AK436" i="1"/>
  <c r="AJ436" i="1"/>
  <c r="AH436" i="1"/>
  <c r="AG436" i="1"/>
  <c r="AF436" i="1"/>
  <c r="AC436" i="1"/>
  <c r="AB436" i="1"/>
  <c r="Z436" i="1"/>
  <c r="J436" i="1"/>
  <c r="AL436" i="1" s="1"/>
  <c r="I436" i="1"/>
  <c r="H436" i="1"/>
  <c r="BJ435" i="1"/>
  <c r="BF435" i="1"/>
  <c r="BD435" i="1"/>
  <c r="AW435" i="1"/>
  <c r="AP435" i="1"/>
  <c r="AX435" i="1" s="1"/>
  <c r="AO435" i="1"/>
  <c r="BH435" i="1" s="1"/>
  <c r="AD435" i="1" s="1"/>
  <c r="AK435" i="1"/>
  <c r="AJ435" i="1"/>
  <c r="AH435" i="1"/>
  <c r="AG435" i="1"/>
  <c r="AF435" i="1"/>
  <c r="AC435" i="1"/>
  <c r="AB435" i="1"/>
  <c r="Z435" i="1"/>
  <c r="J435" i="1"/>
  <c r="AL435" i="1" s="1"/>
  <c r="BJ434" i="1"/>
  <c r="BF434" i="1"/>
  <c r="BD434" i="1"/>
  <c r="AP434" i="1"/>
  <c r="AO434" i="1"/>
  <c r="AK434" i="1"/>
  <c r="AJ434" i="1"/>
  <c r="AH434" i="1"/>
  <c r="AG434" i="1"/>
  <c r="AF434" i="1"/>
  <c r="AC434" i="1"/>
  <c r="AB434" i="1"/>
  <c r="Z434" i="1"/>
  <c r="J434" i="1"/>
  <c r="AL434" i="1" s="1"/>
  <c r="H434" i="1"/>
  <c r="BJ433" i="1"/>
  <c r="BF433" i="1"/>
  <c r="BD433" i="1"/>
  <c r="AP433" i="1"/>
  <c r="AX433" i="1" s="1"/>
  <c r="AO433" i="1"/>
  <c r="BH433" i="1" s="1"/>
  <c r="AD433" i="1" s="1"/>
  <c r="AK433" i="1"/>
  <c r="AJ433" i="1"/>
  <c r="AH433" i="1"/>
  <c r="AG433" i="1"/>
  <c r="AF433" i="1"/>
  <c r="AC433" i="1"/>
  <c r="AB433" i="1"/>
  <c r="Z433" i="1"/>
  <c r="J433" i="1"/>
  <c r="AL433" i="1" s="1"/>
  <c r="H433" i="1"/>
  <c r="BJ432" i="1"/>
  <c r="BF432" i="1"/>
  <c r="BD432" i="1"/>
  <c r="AP432" i="1"/>
  <c r="AO432" i="1"/>
  <c r="AK432" i="1"/>
  <c r="AJ432" i="1"/>
  <c r="AH432" i="1"/>
  <c r="AG432" i="1"/>
  <c r="AF432" i="1"/>
  <c r="AC432" i="1"/>
  <c r="AB432" i="1"/>
  <c r="Z432" i="1"/>
  <c r="J432" i="1"/>
  <c r="AL432" i="1" s="1"/>
  <c r="I432" i="1"/>
  <c r="H432" i="1"/>
  <c r="BJ431" i="1"/>
  <c r="BI431" i="1"/>
  <c r="AE431" i="1" s="1"/>
  <c r="BF431" i="1"/>
  <c r="BD431" i="1"/>
  <c r="AW431" i="1"/>
  <c r="AV431" i="1" s="1"/>
  <c r="AP431" i="1"/>
  <c r="AX431" i="1" s="1"/>
  <c r="AO431" i="1"/>
  <c r="BH431" i="1" s="1"/>
  <c r="AD431" i="1" s="1"/>
  <c r="AL431" i="1"/>
  <c r="AK431" i="1"/>
  <c r="AJ431" i="1"/>
  <c r="AH431" i="1"/>
  <c r="AG431" i="1"/>
  <c r="AF431" i="1"/>
  <c r="AC431" i="1"/>
  <c r="AB431" i="1"/>
  <c r="Z431" i="1"/>
  <c r="J431" i="1"/>
  <c r="BJ430" i="1"/>
  <c r="BH430" i="1"/>
  <c r="AD430" i="1" s="1"/>
  <c r="BF430" i="1"/>
  <c r="BD430" i="1"/>
  <c r="AP430" i="1"/>
  <c r="BI430" i="1" s="1"/>
  <c r="AE430" i="1" s="1"/>
  <c r="AO430" i="1"/>
  <c r="AW430" i="1" s="1"/>
  <c r="AK430" i="1"/>
  <c r="AJ430" i="1"/>
  <c r="AH430" i="1"/>
  <c r="AG430" i="1"/>
  <c r="AF430" i="1"/>
  <c r="AC430" i="1"/>
  <c r="AB430" i="1"/>
  <c r="Z430" i="1"/>
  <c r="J430" i="1"/>
  <c r="AL430" i="1" s="1"/>
  <c r="H430" i="1"/>
  <c r="BJ429" i="1"/>
  <c r="BI429" i="1"/>
  <c r="AE429" i="1" s="1"/>
  <c r="BF429" i="1"/>
  <c r="BD429" i="1"/>
  <c r="AW429" i="1"/>
  <c r="AV429" i="1" s="1"/>
  <c r="AP429" i="1"/>
  <c r="AX429" i="1" s="1"/>
  <c r="AO429" i="1"/>
  <c r="BH429" i="1" s="1"/>
  <c r="AD429" i="1" s="1"/>
  <c r="AL429" i="1"/>
  <c r="AK429" i="1"/>
  <c r="AJ429" i="1"/>
  <c r="AH429" i="1"/>
  <c r="AG429" i="1"/>
  <c r="AF429" i="1"/>
  <c r="AC429" i="1"/>
  <c r="AB429" i="1"/>
  <c r="Z429" i="1"/>
  <c r="J429" i="1"/>
  <c r="I429" i="1"/>
  <c r="H429" i="1"/>
  <c r="BJ428" i="1"/>
  <c r="BF428" i="1"/>
  <c r="BD428" i="1"/>
  <c r="AX428" i="1"/>
  <c r="AP428" i="1"/>
  <c r="BI428" i="1" s="1"/>
  <c r="AE428" i="1" s="1"/>
  <c r="AO428" i="1"/>
  <c r="BH428" i="1" s="1"/>
  <c r="AD428" i="1" s="1"/>
  <c r="AK428" i="1"/>
  <c r="AJ428" i="1"/>
  <c r="AH428" i="1"/>
  <c r="AG428" i="1"/>
  <c r="AF428" i="1"/>
  <c r="AC428" i="1"/>
  <c r="AB428" i="1"/>
  <c r="Z428" i="1"/>
  <c r="J428" i="1"/>
  <c r="AL428" i="1" s="1"/>
  <c r="I428" i="1"/>
  <c r="BJ427" i="1"/>
  <c r="BF427" i="1"/>
  <c r="BD427" i="1"/>
  <c r="AP427" i="1"/>
  <c r="AO427" i="1"/>
  <c r="H427" i="1" s="1"/>
  <c r="AK427" i="1"/>
  <c r="AJ427" i="1"/>
  <c r="AH427" i="1"/>
  <c r="AG427" i="1"/>
  <c r="AF427" i="1"/>
  <c r="AC427" i="1"/>
  <c r="AB427" i="1"/>
  <c r="Z427" i="1"/>
  <c r="J427" i="1"/>
  <c r="AL427" i="1" s="1"/>
  <c r="BJ426" i="1"/>
  <c r="BF426" i="1"/>
  <c r="BD426" i="1"/>
  <c r="AP426" i="1"/>
  <c r="I426" i="1" s="1"/>
  <c r="AO426" i="1"/>
  <c r="H426" i="1" s="1"/>
  <c r="AK426" i="1"/>
  <c r="AJ426" i="1"/>
  <c r="AH426" i="1"/>
  <c r="AG426" i="1"/>
  <c r="AF426" i="1"/>
  <c r="AC426" i="1"/>
  <c r="AB426" i="1"/>
  <c r="Z426" i="1"/>
  <c r="J426" i="1"/>
  <c r="AL426" i="1" s="1"/>
  <c r="BJ425" i="1"/>
  <c r="BF425" i="1"/>
  <c r="BD425" i="1"/>
  <c r="AP425" i="1"/>
  <c r="AO425" i="1"/>
  <c r="BH425" i="1" s="1"/>
  <c r="AD425" i="1" s="1"/>
  <c r="AK425" i="1"/>
  <c r="AJ425" i="1"/>
  <c r="AH425" i="1"/>
  <c r="AG425" i="1"/>
  <c r="AF425" i="1"/>
  <c r="AC425" i="1"/>
  <c r="AB425" i="1"/>
  <c r="Z425" i="1"/>
  <c r="J425" i="1"/>
  <c r="AL425" i="1" s="1"/>
  <c r="BJ424" i="1"/>
  <c r="BF424" i="1"/>
  <c r="BD424" i="1"/>
  <c r="AP424" i="1"/>
  <c r="BI424" i="1" s="1"/>
  <c r="AE424" i="1" s="1"/>
  <c r="AO424" i="1"/>
  <c r="BH424" i="1" s="1"/>
  <c r="AD424" i="1" s="1"/>
  <c r="AK424" i="1"/>
  <c r="AJ424" i="1"/>
  <c r="AH424" i="1"/>
  <c r="AG424" i="1"/>
  <c r="AF424" i="1"/>
  <c r="AC424" i="1"/>
  <c r="AB424" i="1"/>
  <c r="Z424" i="1"/>
  <c r="J424" i="1"/>
  <c r="AL424" i="1" s="1"/>
  <c r="H424" i="1"/>
  <c r="BJ423" i="1"/>
  <c r="BF423" i="1"/>
  <c r="BD423" i="1"/>
  <c r="AP423" i="1"/>
  <c r="BI423" i="1" s="1"/>
  <c r="AE423" i="1" s="1"/>
  <c r="AO423" i="1"/>
  <c r="BH423" i="1" s="1"/>
  <c r="AD423" i="1" s="1"/>
  <c r="AK423" i="1"/>
  <c r="AJ423" i="1"/>
  <c r="AH423" i="1"/>
  <c r="AG423" i="1"/>
  <c r="AF423" i="1"/>
  <c r="AC423" i="1"/>
  <c r="AB423" i="1"/>
  <c r="Z423" i="1"/>
  <c r="J423" i="1"/>
  <c r="AL423" i="1" s="1"/>
  <c r="I423" i="1"/>
  <c r="H423" i="1"/>
  <c r="BJ422" i="1"/>
  <c r="BF422" i="1"/>
  <c r="BD422" i="1"/>
  <c r="AP422" i="1"/>
  <c r="AO422" i="1"/>
  <c r="AK422" i="1"/>
  <c r="AJ422" i="1"/>
  <c r="AH422" i="1"/>
  <c r="AG422" i="1"/>
  <c r="AF422" i="1"/>
  <c r="AC422" i="1"/>
  <c r="AB422" i="1"/>
  <c r="Z422" i="1"/>
  <c r="J422" i="1"/>
  <c r="AL422" i="1" s="1"/>
  <c r="BJ421" i="1"/>
  <c r="BF421" i="1"/>
  <c r="BD421" i="1"/>
  <c r="AP421" i="1"/>
  <c r="AO421" i="1"/>
  <c r="BH421" i="1" s="1"/>
  <c r="AD421" i="1" s="1"/>
  <c r="AK421" i="1"/>
  <c r="AJ421" i="1"/>
  <c r="AH421" i="1"/>
  <c r="AG421" i="1"/>
  <c r="AF421" i="1"/>
  <c r="AC421" i="1"/>
  <c r="AB421" i="1"/>
  <c r="Z421" i="1"/>
  <c r="J421" i="1"/>
  <c r="AL421" i="1" s="1"/>
  <c r="BJ420" i="1"/>
  <c r="BF420" i="1"/>
  <c r="BD420" i="1"/>
  <c r="AP420" i="1"/>
  <c r="BI420" i="1" s="1"/>
  <c r="AE420" i="1" s="1"/>
  <c r="AO420" i="1"/>
  <c r="BH420" i="1" s="1"/>
  <c r="AD420" i="1" s="1"/>
  <c r="AK420" i="1"/>
  <c r="AJ420" i="1"/>
  <c r="AH420" i="1"/>
  <c r="AG420" i="1"/>
  <c r="AF420" i="1"/>
  <c r="AC420" i="1"/>
  <c r="AB420" i="1"/>
  <c r="Z420" i="1"/>
  <c r="J420" i="1"/>
  <c r="AL420" i="1" s="1"/>
  <c r="H420" i="1"/>
  <c r="BJ419" i="1"/>
  <c r="BF419" i="1"/>
  <c r="BD419" i="1"/>
  <c r="AP419" i="1"/>
  <c r="BI419" i="1" s="1"/>
  <c r="AE419" i="1" s="1"/>
  <c r="AO419" i="1"/>
  <c r="AL419" i="1"/>
  <c r="AK419" i="1"/>
  <c r="AJ419" i="1"/>
  <c r="AH419" i="1"/>
  <c r="AG419" i="1"/>
  <c r="AF419" i="1"/>
  <c r="AC419" i="1"/>
  <c r="AB419" i="1"/>
  <c r="Z419" i="1"/>
  <c r="J419" i="1"/>
  <c r="I419" i="1"/>
  <c r="H419" i="1"/>
  <c r="BJ418" i="1"/>
  <c r="BH418" i="1"/>
  <c r="AD418" i="1" s="1"/>
  <c r="BF418" i="1"/>
  <c r="BD418" i="1"/>
  <c r="AP418" i="1"/>
  <c r="BI418" i="1" s="1"/>
  <c r="AE418" i="1" s="1"/>
  <c r="AO418" i="1"/>
  <c r="AK418" i="1"/>
  <c r="AJ418" i="1"/>
  <c r="AH418" i="1"/>
  <c r="AG418" i="1"/>
  <c r="AF418" i="1"/>
  <c r="AC418" i="1"/>
  <c r="AB418" i="1"/>
  <c r="Z418" i="1"/>
  <c r="J418" i="1"/>
  <c r="AL418" i="1" s="1"/>
  <c r="BJ417" i="1"/>
  <c r="BF417" i="1"/>
  <c r="BD417" i="1"/>
  <c r="AP417" i="1"/>
  <c r="AO417" i="1"/>
  <c r="BH417" i="1" s="1"/>
  <c r="AD417" i="1" s="1"/>
  <c r="AK417" i="1"/>
  <c r="AJ417" i="1"/>
  <c r="AH417" i="1"/>
  <c r="AG417" i="1"/>
  <c r="AF417" i="1"/>
  <c r="AC417" i="1"/>
  <c r="AB417" i="1"/>
  <c r="Z417" i="1"/>
  <c r="J417" i="1"/>
  <c r="AL417" i="1" s="1"/>
  <c r="BJ416" i="1"/>
  <c r="BF416" i="1"/>
  <c r="BD416" i="1"/>
  <c r="AP416" i="1"/>
  <c r="BI416" i="1" s="1"/>
  <c r="AE416" i="1" s="1"/>
  <c r="AO416" i="1"/>
  <c r="AK416" i="1"/>
  <c r="AJ416" i="1"/>
  <c r="AH416" i="1"/>
  <c r="AG416" i="1"/>
  <c r="AF416" i="1"/>
  <c r="AC416" i="1"/>
  <c r="AB416" i="1"/>
  <c r="Z416" i="1"/>
  <c r="J416" i="1"/>
  <c r="AL416" i="1" s="1"/>
  <c r="BJ415" i="1"/>
  <c r="BF415" i="1"/>
  <c r="BD415" i="1"/>
  <c r="AW415" i="1"/>
  <c r="AP415" i="1"/>
  <c r="BI415" i="1" s="1"/>
  <c r="AE415" i="1" s="1"/>
  <c r="AO415" i="1"/>
  <c r="BH415" i="1" s="1"/>
  <c r="AD415" i="1" s="1"/>
  <c r="AK415" i="1"/>
  <c r="AJ415" i="1"/>
  <c r="AH415" i="1"/>
  <c r="AG415" i="1"/>
  <c r="AF415" i="1"/>
  <c r="AC415" i="1"/>
  <c r="AB415" i="1"/>
  <c r="Z415" i="1"/>
  <c r="J415" i="1"/>
  <c r="AL415" i="1" s="1"/>
  <c r="I415" i="1"/>
  <c r="H415" i="1"/>
  <c r="BJ414" i="1"/>
  <c r="BF414" i="1"/>
  <c r="BD414" i="1"/>
  <c r="AP414" i="1"/>
  <c r="BI414" i="1" s="1"/>
  <c r="AE414" i="1" s="1"/>
  <c r="AO414" i="1"/>
  <c r="AK414" i="1"/>
  <c r="AJ414" i="1"/>
  <c r="AH414" i="1"/>
  <c r="AG414" i="1"/>
  <c r="AF414" i="1"/>
  <c r="AC414" i="1"/>
  <c r="AB414" i="1"/>
  <c r="Z414" i="1"/>
  <c r="J414" i="1"/>
  <c r="AL414" i="1" s="1"/>
  <c r="BJ413" i="1"/>
  <c r="BF413" i="1"/>
  <c r="BD413" i="1"/>
  <c r="AP413" i="1"/>
  <c r="AO413" i="1"/>
  <c r="BH413" i="1" s="1"/>
  <c r="AD413" i="1" s="1"/>
  <c r="AK413" i="1"/>
  <c r="AJ413" i="1"/>
  <c r="AH413" i="1"/>
  <c r="AG413" i="1"/>
  <c r="AF413" i="1"/>
  <c r="AC413" i="1"/>
  <c r="AB413" i="1"/>
  <c r="Z413" i="1"/>
  <c r="J413" i="1"/>
  <c r="AL413" i="1" s="1"/>
  <c r="BJ412" i="1"/>
  <c r="BF412" i="1"/>
  <c r="BD412" i="1"/>
  <c r="AP412" i="1"/>
  <c r="BI412" i="1" s="1"/>
  <c r="AE412" i="1" s="1"/>
  <c r="AO412" i="1"/>
  <c r="AK412" i="1"/>
  <c r="AJ412" i="1"/>
  <c r="AH412" i="1"/>
  <c r="AG412" i="1"/>
  <c r="AF412" i="1"/>
  <c r="AC412" i="1"/>
  <c r="AB412" i="1"/>
  <c r="Z412" i="1"/>
  <c r="J412" i="1"/>
  <c r="AL412" i="1" s="1"/>
  <c r="BJ411" i="1"/>
  <c r="BF411" i="1"/>
  <c r="BD411" i="1"/>
  <c r="AP411" i="1"/>
  <c r="BI411" i="1" s="1"/>
  <c r="AE411" i="1" s="1"/>
  <c r="AO411" i="1"/>
  <c r="BH411" i="1" s="1"/>
  <c r="AD411" i="1" s="1"/>
  <c r="AL411" i="1"/>
  <c r="AK411" i="1"/>
  <c r="AJ411" i="1"/>
  <c r="AH411" i="1"/>
  <c r="AG411" i="1"/>
  <c r="AF411" i="1"/>
  <c r="AC411" i="1"/>
  <c r="AB411" i="1"/>
  <c r="Z411" i="1"/>
  <c r="J411" i="1"/>
  <c r="I411" i="1"/>
  <c r="H411" i="1"/>
  <c r="BJ410" i="1"/>
  <c r="BF410" i="1"/>
  <c r="BD410" i="1"/>
  <c r="AX410" i="1"/>
  <c r="AP410" i="1"/>
  <c r="BI410" i="1" s="1"/>
  <c r="AE410" i="1" s="1"/>
  <c r="AO410" i="1"/>
  <c r="BH410" i="1" s="1"/>
  <c r="AD410" i="1" s="1"/>
  <c r="AK410" i="1"/>
  <c r="AJ410" i="1"/>
  <c r="AH410" i="1"/>
  <c r="AG410" i="1"/>
  <c r="AF410" i="1"/>
  <c r="AC410" i="1"/>
  <c r="AB410" i="1"/>
  <c r="Z410" i="1"/>
  <c r="J410" i="1"/>
  <c r="I410" i="1"/>
  <c r="BJ408" i="1"/>
  <c r="BF408" i="1"/>
  <c r="BD408" i="1"/>
  <c r="AP408" i="1"/>
  <c r="BI408" i="1" s="1"/>
  <c r="AE408" i="1" s="1"/>
  <c r="AO408" i="1"/>
  <c r="BH408" i="1" s="1"/>
  <c r="AD408" i="1" s="1"/>
  <c r="AL408" i="1"/>
  <c r="AK408" i="1"/>
  <c r="AJ408" i="1"/>
  <c r="AH408" i="1"/>
  <c r="AG408" i="1"/>
  <c r="AF408" i="1"/>
  <c r="AC408" i="1"/>
  <c r="AB408" i="1"/>
  <c r="Z408" i="1"/>
  <c r="J408" i="1"/>
  <c r="I408" i="1"/>
  <c r="H408" i="1"/>
  <c r="BJ407" i="1"/>
  <c r="BF407" i="1"/>
  <c r="BD407" i="1"/>
  <c r="AX407" i="1"/>
  <c r="AP407" i="1"/>
  <c r="BI407" i="1" s="1"/>
  <c r="AE407" i="1" s="1"/>
  <c r="AO407" i="1"/>
  <c r="BH407" i="1" s="1"/>
  <c r="AD407" i="1" s="1"/>
  <c r="AK407" i="1"/>
  <c r="AJ407" i="1"/>
  <c r="AH407" i="1"/>
  <c r="AG407" i="1"/>
  <c r="AF407" i="1"/>
  <c r="AC407" i="1"/>
  <c r="AB407" i="1"/>
  <c r="Z407" i="1"/>
  <c r="J407" i="1"/>
  <c r="AL407" i="1" s="1"/>
  <c r="I407" i="1"/>
  <c r="BJ406" i="1"/>
  <c r="BF406" i="1"/>
  <c r="BD406" i="1"/>
  <c r="AP406" i="1"/>
  <c r="AO406" i="1"/>
  <c r="BH406" i="1" s="1"/>
  <c r="AD406" i="1" s="1"/>
  <c r="AK406" i="1"/>
  <c r="AJ406" i="1"/>
  <c r="AH406" i="1"/>
  <c r="AG406" i="1"/>
  <c r="AF406" i="1"/>
  <c r="AC406" i="1"/>
  <c r="AB406" i="1"/>
  <c r="Z406" i="1"/>
  <c r="J406" i="1"/>
  <c r="AL406" i="1" s="1"/>
  <c r="BJ405" i="1"/>
  <c r="BF405" i="1"/>
  <c r="BD405" i="1"/>
  <c r="AP405" i="1"/>
  <c r="BI405" i="1" s="1"/>
  <c r="AE405" i="1" s="1"/>
  <c r="AO405" i="1"/>
  <c r="BH405" i="1" s="1"/>
  <c r="AD405" i="1" s="1"/>
  <c r="AK405" i="1"/>
  <c r="AJ405" i="1"/>
  <c r="AH405" i="1"/>
  <c r="AG405" i="1"/>
  <c r="AF405" i="1"/>
  <c r="AC405" i="1"/>
  <c r="AB405" i="1"/>
  <c r="Z405" i="1"/>
  <c r="J405" i="1"/>
  <c r="AL405" i="1" s="1"/>
  <c r="BJ404" i="1"/>
  <c r="BF404" i="1"/>
  <c r="BD404" i="1"/>
  <c r="AP404" i="1"/>
  <c r="BI404" i="1" s="1"/>
  <c r="AE404" i="1" s="1"/>
  <c r="AO404" i="1"/>
  <c r="BH404" i="1" s="1"/>
  <c r="AD404" i="1" s="1"/>
  <c r="AL404" i="1"/>
  <c r="AK404" i="1"/>
  <c r="AJ404" i="1"/>
  <c r="AH404" i="1"/>
  <c r="AG404" i="1"/>
  <c r="AF404" i="1"/>
  <c r="AC404" i="1"/>
  <c r="AB404" i="1"/>
  <c r="Z404" i="1"/>
  <c r="J404" i="1"/>
  <c r="I404" i="1"/>
  <c r="H404" i="1"/>
  <c r="BJ403" i="1"/>
  <c r="BF403" i="1"/>
  <c r="BD403" i="1"/>
  <c r="AP403" i="1"/>
  <c r="BI403" i="1" s="1"/>
  <c r="AE403" i="1" s="1"/>
  <c r="AO403" i="1"/>
  <c r="BH403" i="1" s="1"/>
  <c r="AK403" i="1"/>
  <c r="AJ403" i="1"/>
  <c r="AH403" i="1"/>
  <c r="AG403" i="1"/>
  <c r="AF403" i="1"/>
  <c r="AD403" i="1"/>
  <c r="AC403" i="1"/>
  <c r="AB403" i="1"/>
  <c r="Z403" i="1"/>
  <c r="J403" i="1"/>
  <c r="AL403" i="1" s="1"/>
  <c r="I403" i="1"/>
  <c r="BJ402" i="1"/>
  <c r="BF402" i="1"/>
  <c r="BD402" i="1"/>
  <c r="AP402" i="1"/>
  <c r="AO402" i="1"/>
  <c r="BH402" i="1" s="1"/>
  <c r="AD402" i="1" s="1"/>
  <c r="AK402" i="1"/>
  <c r="AJ402" i="1"/>
  <c r="AH402" i="1"/>
  <c r="AG402" i="1"/>
  <c r="AF402" i="1"/>
  <c r="AC402" i="1"/>
  <c r="AB402" i="1"/>
  <c r="Z402" i="1"/>
  <c r="J402" i="1"/>
  <c r="AL402" i="1" s="1"/>
  <c r="BJ401" i="1"/>
  <c r="BF401" i="1"/>
  <c r="BD401" i="1"/>
  <c r="AP401" i="1"/>
  <c r="BI401" i="1" s="1"/>
  <c r="AE401" i="1" s="1"/>
  <c r="AO401" i="1"/>
  <c r="AK401" i="1"/>
  <c r="AJ401" i="1"/>
  <c r="AH401" i="1"/>
  <c r="AG401" i="1"/>
  <c r="AF401" i="1"/>
  <c r="AC401" i="1"/>
  <c r="AB401" i="1"/>
  <c r="Z401" i="1"/>
  <c r="J401" i="1"/>
  <c r="AL401" i="1" s="1"/>
  <c r="BJ400" i="1"/>
  <c r="BF400" i="1"/>
  <c r="BD400" i="1"/>
  <c r="AW400" i="1"/>
  <c r="AP400" i="1"/>
  <c r="BI400" i="1" s="1"/>
  <c r="AE400" i="1" s="1"/>
  <c r="AO400" i="1"/>
  <c r="BH400" i="1" s="1"/>
  <c r="AD400" i="1" s="1"/>
  <c r="AK400" i="1"/>
  <c r="AJ400" i="1"/>
  <c r="AH400" i="1"/>
  <c r="AG400" i="1"/>
  <c r="AF400" i="1"/>
  <c r="AC400" i="1"/>
  <c r="AB400" i="1"/>
  <c r="Z400" i="1"/>
  <c r="J400" i="1"/>
  <c r="AL400" i="1" s="1"/>
  <c r="H400" i="1"/>
  <c r="BJ399" i="1"/>
  <c r="BF399" i="1"/>
  <c r="BD399" i="1"/>
  <c r="AX399" i="1"/>
  <c r="AP399" i="1"/>
  <c r="BI399" i="1" s="1"/>
  <c r="AE399" i="1" s="1"/>
  <c r="AO399" i="1"/>
  <c r="BH399" i="1" s="1"/>
  <c r="AD399" i="1" s="1"/>
  <c r="AK399" i="1"/>
  <c r="AJ399" i="1"/>
  <c r="AH399" i="1"/>
  <c r="AG399" i="1"/>
  <c r="AF399" i="1"/>
  <c r="AC399" i="1"/>
  <c r="AB399" i="1"/>
  <c r="Z399" i="1"/>
  <c r="J399" i="1"/>
  <c r="AL399" i="1" s="1"/>
  <c r="I399" i="1"/>
  <c r="BJ398" i="1"/>
  <c r="BF398" i="1"/>
  <c r="BD398" i="1"/>
  <c r="AP398" i="1"/>
  <c r="AO398" i="1"/>
  <c r="BH398" i="1" s="1"/>
  <c r="AD398" i="1" s="1"/>
  <c r="AK398" i="1"/>
  <c r="AJ398" i="1"/>
  <c r="AH398" i="1"/>
  <c r="AG398" i="1"/>
  <c r="AF398" i="1"/>
  <c r="AC398" i="1"/>
  <c r="AB398" i="1"/>
  <c r="Z398" i="1"/>
  <c r="J398" i="1"/>
  <c r="AL398" i="1" s="1"/>
  <c r="BJ397" i="1"/>
  <c r="BF397" i="1"/>
  <c r="BD397" i="1"/>
  <c r="AP397" i="1"/>
  <c r="BI397" i="1" s="1"/>
  <c r="AE397" i="1" s="1"/>
  <c r="AO397" i="1"/>
  <c r="BH397" i="1" s="1"/>
  <c r="AD397" i="1" s="1"/>
  <c r="AK397" i="1"/>
  <c r="AJ397" i="1"/>
  <c r="AH397" i="1"/>
  <c r="AG397" i="1"/>
  <c r="AF397" i="1"/>
  <c r="AC397" i="1"/>
  <c r="AB397" i="1"/>
  <c r="Z397" i="1"/>
  <c r="J397" i="1"/>
  <c r="AL397" i="1" s="1"/>
  <c r="H397" i="1"/>
  <c r="BJ396" i="1"/>
  <c r="BF396" i="1"/>
  <c r="BD396" i="1"/>
  <c r="AP396" i="1"/>
  <c r="BI396" i="1" s="1"/>
  <c r="AE396" i="1" s="1"/>
  <c r="AO396" i="1"/>
  <c r="BH396" i="1" s="1"/>
  <c r="AD396" i="1" s="1"/>
  <c r="AK396" i="1"/>
  <c r="AJ396" i="1"/>
  <c r="AH396" i="1"/>
  <c r="AG396" i="1"/>
  <c r="AF396" i="1"/>
  <c r="AC396" i="1"/>
  <c r="AB396" i="1"/>
  <c r="Z396" i="1"/>
  <c r="J396" i="1"/>
  <c r="AL396" i="1" s="1"/>
  <c r="I396" i="1"/>
  <c r="H396" i="1"/>
  <c r="BJ395" i="1"/>
  <c r="BF395" i="1"/>
  <c r="BD395" i="1"/>
  <c r="AP395" i="1"/>
  <c r="AO395" i="1"/>
  <c r="AK395" i="1"/>
  <c r="AJ395" i="1"/>
  <c r="AH395" i="1"/>
  <c r="AG395" i="1"/>
  <c r="AF395" i="1"/>
  <c r="AC395" i="1"/>
  <c r="AB395" i="1"/>
  <c r="Z395" i="1"/>
  <c r="J395" i="1"/>
  <c r="AL395" i="1" s="1"/>
  <c r="BJ394" i="1"/>
  <c r="BF394" i="1"/>
  <c r="BD394" i="1"/>
  <c r="AP394" i="1"/>
  <c r="AO394" i="1"/>
  <c r="BH394" i="1" s="1"/>
  <c r="AD394" i="1" s="1"/>
  <c r="AK394" i="1"/>
  <c r="AJ394" i="1"/>
  <c r="AH394" i="1"/>
  <c r="AG394" i="1"/>
  <c r="AF394" i="1"/>
  <c r="AC394" i="1"/>
  <c r="AB394" i="1"/>
  <c r="Z394" i="1"/>
  <c r="J394" i="1"/>
  <c r="AL394" i="1" s="1"/>
  <c r="BJ393" i="1"/>
  <c r="BF393" i="1"/>
  <c r="BD393" i="1"/>
  <c r="AP393" i="1"/>
  <c r="BI393" i="1" s="1"/>
  <c r="AE393" i="1" s="1"/>
  <c r="AO393" i="1"/>
  <c r="BH393" i="1" s="1"/>
  <c r="AD393" i="1" s="1"/>
  <c r="AK393" i="1"/>
  <c r="AJ393" i="1"/>
  <c r="AH393" i="1"/>
  <c r="AG393" i="1"/>
  <c r="AF393" i="1"/>
  <c r="AC393" i="1"/>
  <c r="AB393" i="1"/>
  <c r="Z393" i="1"/>
  <c r="J393" i="1"/>
  <c r="AL393" i="1" s="1"/>
  <c r="H393" i="1"/>
  <c r="BJ392" i="1"/>
  <c r="BF392" i="1"/>
  <c r="BD392" i="1"/>
  <c r="AP392" i="1"/>
  <c r="BI392" i="1" s="1"/>
  <c r="AE392" i="1" s="1"/>
  <c r="AO392" i="1"/>
  <c r="AK392" i="1"/>
  <c r="AJ392" i="1"/>
  <c r="AH392" i="1"/>
  <c r="AG392" i="1"/>
  <c r="AF392" i="1"/>
  <c r="AC392" i="1"/>
  <c r="AB392" i="1"/>
  <c r="Z392" i="1"/>
  <c r="J392" i="1"/>
  <c r="AL392" i="1" s="1"/>
  <c r="I392" i="1"/>
  <c r="BJ391" i="1"/>
  <c r="BH391" i="1"/>
  <c r="AD391" i="1" s="1"/>
  <c r="BF391" i="1"/>
  <c r="BD391" i="1"/>
  <c r="AP391" i="1"/>
  <c r="BI391" i="1" s="1"/>
  <c r="AE391" i="1" s="1"/>
  <c r="AO391" i="1"/>
  <c r="AK391" i="1"/>
  <c r="AJ391" i="1"/>
  <c r="AH391" i="1"/>
  <c r="AG391" i="1"/>
  <c r="AF391" i="1"/>
  <c r="AC391" i="1"/>
  <c r="AB391" i="1"/>
  <c r="Z391" i="1"/>
  <c r="J391" i="1"/>
  <c r="AL391" i="1" s="1"/>
  <c r="BJ390" i="1"/>
  <c r="BF390" i="1"/>
  <c r="BD390" i="1"/>
  <c r="AP390" i="1"/>
  <c r="AO390" i="1"/>
  <c r="BH390" i="1" s="1"/>
  <c r="AD390" i="1" s="1"/>
  <c r="AK390" i="1"/>
  <c r="AJ390" i="1"/>
  <c r="AH390" i="1"/>
  <c r="AG390" i="1"/>
  <c r="AF390" i="1"/>
  <c r="AC390" i="1"/>
  <c r="AB390" i="1"/>
  <c r="Z390" i="1"/>
  <c r="J390" i="1"/>
  <c r="AL390" i="1" s="1"/>
  <c r="BJ389" i="1"/>
  <c r="BF389" i="1"/>
  <c r="BD389" i="1"/>
  <c r="AP389" i="1"/>
  <c r="BI389" i="1" s="1"/>
  <c r="AE389" i="1" s="1"/>
  <c r="AO389" i="1"/>
  <c r="AK389" i="1"/>
  <c r="AJ389" i="1"/>
  <c r="AH389" i="1"/>
  <c r="AG389" i="1"/>
  <c r="AF389" i="1"/>
  <c r="AC389" i="1"/>
  <c r="AB389" i="1"/>
  <c r="Z389" i="1"/>
  <c r="J389" i="1"/>
  <c r="AL389" i="1" s="1"/>
  <c r="BJ388" i="1"/>
  <c r="BF388" i="1"/>
  <c r="BD388" i="1"/>
  <c r="AW388" i="1"/>
  <c r="AP388" i="1"/>
  <c r="BI388" i="1" s="1"/>
  <c r="AE388" i="1" s="1"/>
  <c r="AO388" i="1"/>
  <c r="BH388" i="1" s="1"/>
  <c r="AD388" i="1" s="1"/>
  <c r="AK388" i="1"/>
  <c r="AJ388" i="1"/>
  <c r="AH388" i="1"/>
  <c r="AG388" i="1"/>
  <c r="AF388" i="1"/>
  <c r="AC388" i="1"/>
  <c r="AB388" i="1"/>
  <c r="Z388" i="1"/>
  <c r="J388" i="1"/>
  <c r="AL388" i="1" s="1"/>
  <c r="H388" i="1"/>
  <c r="BJ387" i="1"/>
  <c r="BH387" i="1"/>
  <c r="AD387" i="1" s="1"/>
  <c r="BF387" i="1"/>
  <c r="BD387" i="1"/>
  <c r="AX387" i="1"/>
  <c r="AP387" i="1"/>
  <c r="BI387" i="1" s="1"/>
  <c r="AE387" i="1" s="1"/>
  <c r="AO387" i="1"/>
  <c r="AK387" i="1"/>
  <c r="AJ387" i="1"/>
  <c r="AH387" i="1"/>
  <c r="AG387" i="1"/>
  <c r="AF387" i="1"/>
  <c r="AC387" i="1"/>
  <c r="AB387" i="1"/>
  <c r="Z387" i="1"/>
  <c r="J387" i="1"/>
  <c r="AL387" i="1" s="1"/>
  <c r="I387" i="1"/>
  <c r="BJ386" i="1"/>
  <c r="BF386" i="1"/>
  <c r="BD386" i="1"/>
  <c r="AP386" i="1"/>
  <c r="AO386" i="1"/>
  <c r="BH386" i="1" s="1"/>
  <c r="AD386" i="1" s="1"/>
  <c r="AK386" i="1"/>
  <c r="AJ386" i="1"/>
  <c r="AH386" i="1"/>
  <c r="AG386" i="1"/>
  <c r="AF386" i="1"/>
  <c r="AC386" i="1"/>
  <c r="AB386" i="1"/>
  <c r="Z386" i="1"/>
  <c r="J386" i="1"/>
  <c r="AL386" i="1" s="1"/>
  <c r="BJ385" i="1"/>
  <c r="BF385" i="1"/>
  <c r="BD385" i="1"/>
  <c r="AP385" i="1"/>
  <c r="BI385" i="1" s="1"/>
  <c r="AE385" i="1" s="1"/>
  <c r="AO385" i="1"/>
  <c r="BH385" i="1" s="1"/>
  <c r="AD385" i="1" s="1"/>
  <c r="AK385" i="1"/>
  <c r="AJ385" i="1"/>
  <c r="AH385" i="1"/>
  <c r="AG385" i="1"/>
  <c r="AF385" i="1"/>
  <c r="AC385" i="1"/>
  <c r="AB385" i="1"/>
  <c r="Z385" i="1"/>
  <c r="J385" i="1"/>
  <c r="AL385" i="1" s="1"/>
  <c r="H385" i="1"/>
  <c r="BJ384" i="1"/>
  <c r="BF384" i="1"/>
  <c r="BD384" i="1"/>
  <c r="AP384" i="1"/>
  <c r="BI384" i="1" s="1"/>
  <c r="AE384" i="1" s="1"/>
  <c r="AO384" i="1"/>
  <c r="BH384" i="1" s="1"/>
  <c r="AD384" i="1" s="1"/>
  <c r="AL384" i="1"/>
  <c r="AK384" i="1"/>
  <c r="AJ384" i="1"/>
  <c r="AH384" i="1"/>
  <c r="AG384" i="1"/>
  <c r="AF384" i="1"/>
  <c r="AC384" i="1"/>
  <c r="AB384" i="1"/>
  <c r="Z384" i="1"/>
  <c r="J384" i="1"/>
  <c r="I384" i="1"/>
  <c r="H384" i="1"/>
  <c r="BJ383" i="1"/>
  <c r="BH383" i="1"/>
  <c r="AD383" i="1" s="1"/>
  <c r="BF383" i="1"/>
  <c r="BD383" i="1"/>
  <c r="AP383" i="1"/>
  <c r="BI383" i="1" s="1"/>
  <c r="AE383" i="1" s="1"/>
  <c r="AO383" i="1"/>
  <c r="AK383" i="1"/>
  <c r="AJ383" i="1"/>
  <c r="AH383" i="1"/>
  <c r="AG383" i="1"/>
  <c r="AF383" i="1"/>
  <c r="AC383" i="1"/>
  <c r="AB383" i="1"/>
  <c r="Z383" i="1"/>
  <c r="J383" i="1"/>
  <c r="AL383" i="1" s="1"/>
  <c r="BJ382" i="1"/>
  <c r="BF382" i="1"/>
  <c r="BD382" i="1"/>
  <c r="AP382" i="1"/>
  <c r="AO382" i="1"/>
  <c r="BH382" i="1" s="1"/>
  <c r="AD382" i="1" s="1"/>
  <c r="AK382" i="1"/>
  <c r="AJ382" i="1"/>
  <c r="AH382" i="1"/>
  <c r="AG382" i="1"/>
  <c r="AF382" i="1"/>
  <c r="AC382" i="1"/>
  <c r="AB382" i="1"/>
  <c r="Z382" i="1"/>
  <c r="J382" i="1"/>
  <c r="AL382" i="1" s="1"/>
  <c r="BJ381" i="1"/>
  <c r="BF381" i="1"/>
  <c r="BD381" i="1"/>
  <c r="AP381" i="1"/>
  <c r="BI381" i="1" s="1"/>
  <c r="AE381" i="1" s="1"/>
  <c r="AO381" i="1"/>
  <c r="BH381" i="1" s="1"/>
  <c r="AD381" i="1" s="1"/>
  <c r="AK381" i="1"/>
  <c r="AJ381" i="1"/>
  <c r="AH381" i="1"/>
  <c r="AG381" i="1"/>
  <c r="AF381" i="1"/>
  <c r="AC381" i="1"/>
  <c r="AB381" i="1"/>
  <c r="Z381" i="1"/>
  <c r="J381" i="1"/>
  <c r="AL381" i="1" s="1"/>
  <c r="H381" i="1"/>
  <c r="BJ380" i="1"/>
  <c r="BF380" i="1"/>
  <c r="BD380" i="1"/>
  <c r="AP380" i="1"/>
  <c r="BI380" i="1" s="1"/>
  <c r="AE380" i="1" s="1"/>
  <c r="AO380" i="1"/>
  <c r="BH380" i="1" s="1"/>
  <c r="AD380" i="1" s="1"/>
  <c r="AL380" i="1"/>
  <c r="AK380" i="1"/>
  <c r="AJ380" i="1"/>
  <c r="AH380" i="1"/>
  <c r="AG380" i="1"/>
  <c r="AF380" i="1"/>
  <c r="AC380" i="1"/>
  <c r="AB380" i="1"/>
  <c r="Z380" i="1"/>
  <c r="J380" i="1"/>
  <c r="I380" i="1"/>
  <c r="H380" i="1"/>
  <c r="BJ379" i="1"/>
  <c r="BF379" i="1"/>
  <c r="BD379" i="1"/>
  <c r="AX379" i="1"/>
  <c r="AP379" i="1"/>
  <c r="BI379" i="1" s="1"/>
  <c r="AE379" i="1" s="1"/>
  <c r="AO379" i="1"/>
  <c r="AK379" i="1"/>
  <c r="AJ379" i="1"/>
  <c r="AH379" i="1"/>
  <c r="AG379" i="1"/>
  <c r="AF379" i="1"/>
  <c r="AC379" i="1"/>
  <c r="AB379" i="1"/>
  <c r="Z379" i="1"/>
  <c r="J379" i="1"/>
  <c r="AL379" i="1" s="1"/>
  <c r="I379" i="1"/>
  <c r="BJ378" i="1"/>
  <c r="BF378" i="1"/>
  <c r="BD378" i="1"/>
  <c r="AP378" i="1"/>
  <c r="AO378" i="1"/>
  <c r="BH378" i="1" s="1"/>
  <c r="AD378" i="1" s="1"/>
  <c r="AK378" i="1"/>
  <c r="AJ378" i="1"/>
  <c r="AH378" i="1"/>
  <c r="AG378" i="1"/>
  <c r="AF378" i="1"/>
  <c r="AC378" i="1"/>
  <c r="AB378" i="1"/>
  <c r="Z378" i="1"/>
  <c r="J378" i="1"/>
  <c r="AL378" i="1" s="1"/>
  <c r="BJ377" i="1"/>
  <c r="BF377" i="1"/>
  <c r="BD377" i="1"/>
  <c r="AP377" i="1"/>
  <c r="BI377" i="1" s="1"/>
  <c r="AE377" i="1" s="1"/>
  <c r="AO377" i="1"/>
  <c r="BH377" i="1" s="1"/>
  <c r="AD377" i="1" s="1"/>
  <c r="AK377" i="1"/>
  <c r="AJ377" i="1"/>
  <c r="AH377" i="1"/>
  <c r="AG377" i="1"/>
  <c r="AF377" i="1"/>
  <c r="AC377" i="1"/>
  <c r="AB377" i="1"/>
  <c r="Z377" i="1"/>
  <c r="J377" i="1"/>
  <c r="AL377" i="1" s="1"/>
  <c r="H377" i="1"/>
  <c r="BJ376" i="1"/>
  <c r="BF376" i="1"/>
  <c r="BD376" i="1"/>
  <c r="AW376" i="1"/>
  <c r="AP376" i="1"/>
  <c r="BI376" i="1" s="1"/>
  <c r="AE376" i="1" s="1"/>
  <c r="AO376" i="1"/>
  <c r="BH376" i="1" s="1"/>
  <c r="AD376" i="1" s="1"/>
  <c r="AK376" i="1"/>
  <c r="AJ376" i="1"/>
  <c r="AH376" i="1"/>
  <c r="AG376" i="1"/>
  <c r="AF376" i="1"/>
  <c r="AC376" i="1"/>
  <c r="AB376" i="1"/>
  <c r="Z376" i="1"/>
  <c r="J376" i="1"/>
  <c r="AL376" i="1" s="1"/>
  <c r="I376" i="1"/>
  <c r="H376" i="1"/>
  <c r="BJ375" i="1"/>
  <c r="BF375" i="1"/>
  <c r="BD375" i="1"/>
  <c r="AP375" i="1"/>
  <c r="BI375" i="1" s="1"/>
  <c r="AE375" i="1" s="1"/>
  <c r="AO375" i="1"/>
  <c r="BH375" i="1" s="1"/>
  <c r="AD375" i="1" s="1"/>
  <c r="AK375" i="1"/>
  <c r="AJ375" i="1"/>
  <c r="AH375" i="1"/>
  <c r="AG375" i="1"/>
  <c r="AF375" i="1"/>
  <c r="AC375" i="1"/>
  <c r="AB375" i="1"/>
  <c r="Z375" i="1"/>
  <c r="J375" i="1"/>
  <c r="AL375" i="1" s="1"/>
  <c r="BJ374" i="1"/>
  <c r="BF374" i="1"/>
  <c r="BD374" i="1"/>
  <c r="AP374" i="1"/>
  <c r="AO374" i="1"/>
  <c r="BH374" i="1" s="1"/>
  <c r="AD374" i="1" s="1"/>
  <c r="AK374" i="1"/>
  <c r="AJ374" i="1"/>
  <c r="AH374" i="1"/>
  <c r="AG374" i="1"/>
  <c r="AF374" i="1"/>
  <c r="AC374" i="1"/>
  <c r="AB374" i="1"/>
  <c r="Z374" i="1"/>
  <c r="J374" i="1"/>
  <c r="AL374" i="1" s="1"/>
  <c r="BJ373" i="1"/>
  <c r="BF373" i="1"/>
  <c r="BD373" i="1"/>
  <c r="AP373" i="1"/>
  <c r="BI373" i="1" s="1"/>
  <c r="AE373" i="1" s="1"/>
  <c r="AO373" i="1"/>
  <c r="BH373" i="1" s="1"/>
  <c r="AD373" i="1" s="1"/>
  <c r="AK373" i="1"/>
  <c r="AJ373" i="1"/>
  <c r="AH373" i="1"/>
  <c r="AG373" i="1"/>
  <c r="AF373" i="1"/>
  <c r="AC373" i="1"/>
  <c r="AB373" i="1"/>
  <c r="Z373" i="1"/>
  <c r="J373" i="1"/>
  <c r="AL373" i="1" s="1"/>
  <c r="H373" i="1"/>
  <c r="BJ372" i="1"/>
  <c r="BF372" i="1"/>
  <c r="BD372" i="1"/>
  <c r="AP372" i="1"/>
  <c r="BI372" i="1" s="1"/>
  <c r="AE372" i="1" s="1"/>
  <c r="AO372" i="1"/>
  <c r="BH372" i="1" s="1"/>
  <c r="AD372" i="1" s="1"/>
  <c r="AK372" i="1"/>
  <c r="AJ372" i="1"/>
  <c r="AH372" i="1"/>
  <c r="AG372" i="1"/>
  <c r="AF372" i="1"/>
  <c r="AC372" i="1"/>
  <c r="AB372" i="1"/>
  <c r="Z372" i="1"/>
  <c r="J372" i="1"/>
  <c r="AL372" i="1" s="1"/>
  <c r="I372" i="1"/>
  <c r="H372" i="1"/>
  <c r="BJ371" i="1"/>
  <c r="BH371" i="1"/>
  <c r="AD371" i="1" s="1"/>
  <c r="BF371" i="1"/>
  <c r="BD371" i="1"/>
  <c r="AX371" i="1"/>
  <c r="AP371" i="1"/>
  <c r="BI371" i="1" s="1"/>
  <c r="AE371" i="1" s="1"/>
  <c r="AO371" i="1"/>
  <c r="AK371" i="1"/>
  <c r="AJ371" i="1"/>
  <c r="AH371" i="1"/>
  <c r="AG371" i="1"/>
  <c r="AF371" i="1"/>
  <c r="AC371" i="1"/>
  <c r="AB371" i="1"/>
  <c r="Z371" i="1"/>
  <c r="J371" i="1"/>
  <c r="AL371" i="1" s="1"/>
  <c r="I371" i="1"/>
  <c r="BJ370" i="1"/>
  <c r="BF370" i="1"/>
  <c r="BD370" i="1"/>
  <c r="AP370" i="1"/>
  <c r="AO370" i="1"/>
  <c r="BH370" i="1" s="1"/>
  <c r="AD370" i="1" s="1"/>
  <c r="AK370" i="1"/>
  <c r="AJ370" i="1"/>
  <c r="AH370" i="1"/>
  <c r="AG370" i="1"/>
  <c r="AF370" i="1"/>
  <c r="AC370" i="1"/>
  <c r="AB370" i="1"/>
  <c r="Z370" i="1"/>
  <c r="J370" i="1"/>
  <c r="AL370" i="1" s="1"/>
  <c r="BJ369" i="1"/>
  <c r="BF369" i="1"/>
  <c r="BD369" i="1"/>
  <c r="AP369" i="1"/>
  <c r="BI369" i="1" s="1"/>
  <c r="AE369" i="1" s="1"/>
  <c r="AO369" i="1"/>
  <c r="BH369" i="1" s="1"/>
  <c r="AD369" i="1" s="1"/>
  <c r="AK369" i="1"/>
  <c r="AJ369" i="1"/>
  <c r="AH369" i="1"/>
  <c r="AG369" i="1"/>
  <c r="AF369" i="1"/>
  <c r="AC369" i="1"/>
  <c r="AB369" i="1"/>
  <c r="Z369" i="1"/>
  <c r="J369" i="1"/>
  <c r="AL369" i="1" s="1"/>
  <c r="H369" i="1"/>
  <c r="BJ368" i="1"/>
  <c r="BF368" i="1"/>
  <c r="BD368" i="1"/>
  <c r="AW368" i="1"/>
  <c r="AP368" i="1"/>
  <c r="BI368" i="1" s="1"/>
  <c r="AE368" i="1" s="1"/>
  <c r="AO368" i="1"/>
  <c r="BH368" i="1" s="1"/>
  <c r="AD368" i="1" s="1"/>
  <c r="AK368" i="1"/>
  <c r="AJ368" i="1"/>
  <c r="AH368" i="1"/>
  <c r="AG368" i="1"/>
  <c r="AF368" i="1"/>
  <c r="AC368" i="1"/>
  <c r="AB368" i="1"/>
  <c r="Z368" i="1"/>
  <c r="J368" i="1"/>
  <c r="AL368" i="1" s="1"/>
  <c r="I368" i="1"/>
  <c r="H368" i="1"/>
  <c r="BJ367" i="1"/>
  <c r="BF367" i="1"/>
  <c r="BD367" i="1"/>
  <c r="AP367" i="1"/>
  <c r="BI367" i="1" s="1"/>
  <c r="AE367" i="1" s="1"/>
  <c r="AO367" i="1"/>
  <c r="BH367" i="1" s="1"/>
  <c r="AD367" i="1" s="1"/>
  <c r="AK367" i="1"/>
  <c r="AJ367" i="1"/>
  <c r="AH367" i="1"/>
  <c r="AG367" i="1"/>
  <c r="AF367" i="1"/>
  <c r="AC367" i="1"/>
  <c r="AB367" i="1"/>
  <c r="Z367" i="1"/>
  <c r="J367" i="1"/>
  <c r="AL367" i="1" s="1"/>
  <c r="I367" i="1"/>
  <c r="BJ366" i="1"/>
  <c r="BF366" i="1"/>
  <c r="BD366" i="1"/>
  <c r="AP366" i="1"/>
  <c r="AO366" i="1"/>
  <c r="BH366" i="1" s="1"/>
  <c r="AD366" i="1" s="1"/>
  <c r="AK366" i="1"/>
  <c r="AJ366" i="1"/>
  <c r="AH366" i="1"/>
  <c r="AG366" i="1"/>
  <c r="AF366" i="1"/>
  <c r="AC366" i="1"/>
  <c r="AB366" i="1"/>
  <c r="Z366" i="1"/>
  <c r="J366" i="1"/>
  <c r="AL366" i="1" s="1"/>
  <c r="BJ365" i="1"/>
  <c r="BF365" i="1"/>
  <c r="BD365" i="1"/>
  <c r="AP365" i="1"/>
  <c r="BI365" i="1" s="1"/>
  <c r="AE365" i="1" s="1"/>
  <c r="AO365" i="1"/>
  <c r="AK365" i="1"/>
  <c r="AJ365" i="1"/>
  <c r="AH365" i="1"/>
  <c r="AG365" i="1"/>
  <c r="AF365" i="1"/>
  <c r="AC365" i="1"/>
  <c r="AB365" i="1"/>
  <c r="Z365" i="1"/>
  <c r="J365" i="1"/>
  <c r="AL365" i="1" s="1"/>
  <c r="BJ364" i="1"/>
  <c r="BF364" i="1"/>
  <c r="BD364" i="1"/>
  <c r="AP364" i="1"/>
  <c r="BI364" i="1" s="1"/>
  <c r="AE364" i="1" s="1"/>
  <c r="AO364" i="1"/>
  <c r="BH364" i="1" s="1"/>
  <c r="AD364" i="1" s="1"/>
  <c r="AL364" i="1"/>
  <c r="AK364" i="1"/>
  <c r="AJ364" i="1"/>
  <c r="AH364" i="1"/>
  <c r="AG364" i="1"/>
  <c r="AF364" i="1"/>
  <c r="AC364" i="1"/>
  <c r="AB364" i="1"/>
  <c r="Z364" i="1"/>
  <c r="J364" i="1"/>
  <c r="I364" i="1"/>
  <c r="H364" i="1"/>
  <c r="BJ363" i="1"/>
  <c r="BF363" i="1"/>
  <c r="BD363" i="1"/>
  <c r="AP363" i="1"/>
  <c r="AO363" i="1"/>
  <c r="AK363" i="1"/>
  <c r="AJ363" i="1"/>
  <c r="AH363" i="1"/>
  <c r="AG363" i="1"/>
  <c r="AF363" i="1"/>
  <c r="AC363" i="1"/>
  <c r="AB363" i="1"/>
  <c r="Z363" i="1"/>
  <c r="J363" i="1"/>
  <c r="AL363" i="1" s="1"/>
  <c r="BJ362" i="1"/>
  <c r="BF362" i="1"/>
  <c r="BD362" i="1"/>
  <c r="AP362" i="1"/>
  <c r="AO362" i="1"/>
  <c r="BH362" i="1" s="1"/>
  <c r="AD362" i="1" s="1"/>
  <c r="AK362" i="1"/>
  <c r="AJ362" i="1"/>
  <c r="AH362" i="1"/>
  <c r="AG362" i="1"/>
  <c r="AF362" i="1"/>
  <c r="AC362" i="1"/>
  <c r="AB362" i="1"/>
  <c r="Z362" i="1"/>
  <c r="J362" i="1"/>
  <c r="AL362" i="1" s="1"/>
  <c r="BJ361" i="1"/>
  <c r="BF361" i="1"/>
  <c r="BD361" i="1"/>
  <c r="AP361" i="1"/>
  <c r="BI361" i="1" s="1"/>
  <c r="AE361" i="1" s="1"/>
  <c r="AO361" i="1"/>
  <c r="BH361" i="1" s="1"/>
  <c r="AD361" i="1" s="1"/>
  <c r="AK361" i="1"/>
  <c r="AJ361" i="1"/>
  <c r="AH361" i="1"/>
  <c r="AG361" i="1"/>
  <c r="AF361" i="1"/>
  <c r="AC361" i="1"/>
  <c r="AB361" i="1"/>
  <c r="Z361" i="1"/>
  <c r="J361" i="1"/>
  <c r="AL361" i="1" s="1"/>
  <c r="BJ360" i="1"/>
  <c r="BF360" i="1"/>
  <c r="BD360" i="1"/>
  <c r="AW360" i="1"/>
  <c r="AP360" i="1"/>
  <c r="BI360" i="1" s="1"/>
  <c r="AE360" i="1" s="1"/>
  <c r="AO360" i="1"/>
  <c r="BH360" i="1" s="1"/>
  <c r="AD360" i="1" s="1"/>
  <c r="AK360" i="1"/>
  <c r="AJ360" i="1"/>
  <c r="AH360" i="1"/>
  <c r="AG360" i="1"/>
  <c r="AF360" i="1"/>
  <c r="AC360" i="1"/>
  <c r="AB360" i="1"/>
  <c r="Z360" i="1"/>
  <c r="J360" i="1"/>
  <c r="AL360" i="1" s="1"/>
  <c r="I360" i="1"/>
  <c r="H360" i="1"/>
  <c r="BJ359" i="1"/>
  <c r="BH359" i="1"/>
  <c r="AD359" i="1" s="1"/>
  <c r="BF359" i="1"/>
  <c r="BD359" i="1"/>
  <c r="AX359" i="1"/>
  <c r="AP359" i="1"/>
  <c r="BI359" i="1" s="1"/>
  <c r="AE359" i="1" s="1"/>
  <c r="AO359" i="1"/>
  <c r="AK359" i="1"/>
  <c r="AJ359" i="1"/>
  <c r="AH359" i="1"/>
  <c r="AG359" i="1"/>
  <c r="AF359" i="1"/>
  <c r="AC359" i="1"/>
  <c r="AB359" i="1"/>
  <c r="Z359" i="1"/>
  <c r="J359" i="1"/>
  <c r="AL359" i="1" s="1"/>
  <c r="I359" i="1"/>
  <c r="BJ358" i="1"/>
  <c r="BF358" i="1"/>
  <c r="BD358" i="1"/>
  <c r="AP358" i="1"/>
  <c r="AO358" i="1"/>
  <c r="BH358" i="1" s="1"/>
  <c r="AD358" i="1" s="1"/>
  <c r="AK358" i="1"/>
  <c r="AJ358" i="1"/>
  <c r="AH358" i="1"/>
  <c r="AG358" i="1"/>
  <c r="AF358" i="1"/>
  <c r="AC358" i="1"/>
  <c r="AB358" i="1"/>
  <c r="Z358" i="1"/>
  <c r="J358" i="1"/>
  <c r="AL358" i="1" s="1"/>
  <c r="BJ357" i="1"/>
  <c r="BF357" i="1"/>
  <c r="BD357" i="1"/>
  <c r="AP357" i="1"/>
  <c r="BI357" i="1" s="1"/>
  <c r="AE357" i="1" s="1"/>
  <c r="AO357" i="1"/>
  <c r="BH357" i="1" s="1"/>
  <c r="AD357" i="1" s="1"/>
  <c r="AK357" i="1"/>
  <c r="AJ357" i="1"/>
  <c r="AH357" i="1"/>
  <c r="AG357" i="1"/>
  <c r="AF357" i="1"/>
  <c r="AC357" i="1"/>
  <c r="AB357" i="1"/>
  <c r="Z357" i="1"/>
  <c r="J357" i="1"/>
  <c r="AL357" i="1" s="1"/>
  <c r="H357" i="1"/>
  <c r="BJ356" i="1"/>
  <c r="BF356" i="1"/>
  <c r="BD356" i="1"/>
  <c r="AP356" i="1"/>
  <c r="BI356" i="1" s="1"/>
  <c r="AE356" i="1" s="1"/>
  <c r="AO356" i="1"/>
  <c r="BH356" i="1" s="1"/>
  <c r="AD356" i="1" s="1"/>
  <c r="AL356" i="1"/>
  <c r="AK356" i="1"/>
  <c r="AJ356" i="1"/>
  <c r="AH356" i="1"/>
  <c r="AG356" i="1"/>
  <c r="AF356" i="1"/>
  <c r="AC356" i="1"/>
  <c r="AB356" i="1"/>
  <c r="Z356" i="1"/>
  <c r="J356" i="1"/>
  <c r="I356" i="1"/>
  <c r="H356" i="1"/>
  <c r="BJ355" i="1"/>
  <c r="BF355" i="1"/>
  <c r="BD355" i="1"/>
  <c r="AX355" i="1"/>
  <c r="AP355" i="1"/>
  <c r="BI355" i="1" s="1"/>
  <c r="AE355" i="1" s="1"/>
  <c r="AO355" i="1"/>
  <c r="AK355" i="1"/>
  <c r="AJ355" i="1"/>
  <c r="AH355" i="1"/>
  <c r="AG355" i="1"/>
  <c r="AF355" i="1"/>
  <c r="AC355" i="1"/>
  <c r="AB355" i="1"/>
  <c r="Z355" i="1"/>
  <c r="J355" i="1"/>
  <c r="AL355" i="1" s="1"/>
  <c r="I355" i="1"/>
  <c r="BJ354" i="1"/>
  <c r="BF354" i="1"/>
  <c r="BD354" i="1"/>
  <c r="AP354" i="1"/>
  <c r="AO354" i="1"/>
  <c r="BH354" i="1" s="1"/>
  <c r="AD354" i="1" s="1"/>
  <c r="AK354" i="1"/>
  <c r="AJ354" i="1"/>
  <c r="AH354" i="1"/>
  <c r="AG354" i="1"/>
  <c r="AF354" i="1"/>
  <c r="AC354" i="1"/>
  <c r="AB354" i="1"/>
  <c r="Z354" i="1"/>
  <c r="J354" i="1"/>
  <c r="AL354" i="1" s="1"/>
  <c r="BJ353" i="1"/>
  <c r="BF353" i="1"/>
  <c r="BD353" i="1"/>
  <c r="AP353" i="1"/>
  <c r="BI353" i="1" s="1"/>
  <c r="AE353" i="1" s="1"/>
  <c r="AO353" i="1"/>
  <c r="BH353" i="1" s="1"/>
  <c r="AD353" i="1" s="1"/>
  <c r="AK353" i="1"/>
  <c r="AJ353" i="1"/>
  <c r="AH353" i="1"/>
  <c r="AG353" i="1"/>
  <c r="AF353" i="1"/>
  <c r="AC353" i="1"/>
  <c r="AB353" i="1"/>
  <c r="Z353" i="1"/>
  <c r="J353" i="1"/>
  <c r="AL353" i="1" s="1"/>
  <c r="H353" i="1"/>
  <c r="BJ352" i="1"/>
  <c r="BF352" i="1"/>
  <c r="BD352" i="1"/>
  <c r="AW352" i="1"/>
  <c r="AP352" i="1"/>
  <c r="BI352" i="1" s="1"/>
  <c r="AE352" i="1" s="1"/>
  <c r="AO352" i="1"/>
  <c r="BH352" i="1" s="1"/>
  <c r="AD352" i="1" s="1"/>
  <c r="AK352" i="1"/>
  <c r="AJ352" i="1"/>
  <c r="AH352" i="1"/>
  <c r="AG352" i="1"/>
  <c r="AF352" i="1"/>
  <c r="AC352" i="1"/>
  <c r="AB352" i="1"/>
  <c r="Z352" i="1"/>
  <c r="J352" i="1"/>
  <c r="AL352" i="1" s="1"/>
  <c r="I352" i="1"/>
  <c r="H352" i="1"/>
  <c r="BJ351" i="1"/>
  <c r="BF351" i="1"/>
  <c r="BD351" i="1"/>
  <c r="AP351" i="1"/>
  <c r="BI351" i="1" s="1"/>
  <c r="AE351" i="1" s="1"/>
  <c r="AO351" i="1"/>
  <c r="BH351" i="1" s="1"/>
  <c r="AD351" i="1" s="1"/>
  <c r="AK351" i="1"/>
  <c r="AJ351" i="1"/>
  <c r="AH351" i="1"/>
  <c r="AG351" i="1"/>
  <c r="AF351" i="1"/>
  <c r="AC351" i="1"/>
  <c r="AB351" i="1"/>
  <c r="Z351" i="1"/>
  <c r="J351" i="1"/>
  <c r="AL351" i="1" s="1"/>
  <c r="BJ350" i="1"/>
  <c r="BF350" i="1"/>
  <c r="BD350" i="1"/>
  <c r="AP350" i="1"/>
  <c r="AO350" i="1"/>
  <c r="BH350" i="1" s="1"/>
  <c r="AD350" i="1" s="1"/>
  <c r="AK350" i="1"/>
  <c r="AJ350" i="1"/>
  <c r="AH350" i="1"/>
  <c r="AG350" i="1"/>
  <c r="AF350" i="1"/>
  <c r="AC350" i="1"/>
  <c r="AB350" i="1"/>
  <c r="Z350" i="1"/>
  <c r="J350" i="1"/>
  <c r="AL350" i="1" s="1"/>
  <c r="BJ349" i="1"/>
  <c r="BF349" i="1"/>
  <c r="BD349" i="1"/>
  <c r="AP349" i="1"/>
  <c r="BI349" i="1" s="1"/>
  <c r="AE349" i="1" s="1"/>
  <c r="AO349" i="1"/>
  <c r="BH349" i="1" s="1"/>
  <c r="AD349" i="1" s="1"/>
  <c r="AK349" i="1"/>
  <c r="AJ349" i="1"/>
  <c r="AH349" i="1"/>
  <c r="AG349" i="1"/>
  <c r="AF349" i="1"/>
  <c r="AC349" i="1"/>
  <c r="AB349" i="1"/>
  <c r="Z349" i="1"/>
  <c r="J349" i="1"/>
  <c r="AL349" i="1" s="1"/>
  <c r="H349" i="1"/>
  <c r="BJ348" i="1"/>
  <c r="BF348" i="1"/>
  <c r="BD348" i="1"/>
  <c r="AP348" i="1"/>
  <c r="BI348" i="1" s="1"/>
  <c r="AE348" i="1" s="1"/>
  <c r="AO348" i="1"/>
  <c r="BH348" i="1" s="1"/>
  <c r="AD348" i="1" s="1"/>
  <c r="AK348" i="1"/>
  <c r="AJ348" i="1"/>
  <c r="AH348" i="1"/>
  <c r="AG348" i="1"/>
  <c r="AF348" i="1"/>
  <c r="AC348" i="1"/>
  <c r="AB348" i="1"/>
  <c r="Z348" i="1"/>
  <c r="J348" i="1"/>
  <c r="AL348" i="1" s="1"/>
  <c r="I348" i="1"/>
  <c r="H348" i="1"/>
  <c r="BJ347" i="1"/>
  <c r="BF347" i="1"/>
  <c r="BD347" i="1"/>
  <c r="AP347" i="1"/>
  <c r="AO347" i="1"/>
  <c r="AK347" i="1"/>
  <c r="AJ347" i="1"/>
  <c r="AH347" i="1"/>
  <c r="AG347" i="1"/>
  <c r="AF347" i="1"/>
  <c r="AC347" i="1"/>
  <c r="AB347" i="1"/>
  <c r="Z347" i="1"/>
  <c r="J347" i="1"/>
  <c r="AL347" i="1" s="1"/>
  <c r="BJ346" i="1"/>
  <c r="BF346" i="1"/>
  <c r="BD346" i="1"/>
  <c r="AP346" i="1"/>
  <c r="AO346" i="1"/>
  <c r="BH346" i="1" s="1"/>
  <c r="AD346" i="1" s="1"/>
  <c r="AK346" i="1"/>
  <c r="AJ346" i="1"/>
  <c r="AH346" i="1"/>
  <c r="AG346" i="1"/>
  <c r="AF346" i="1"/>
  <c r="AC346" i="1"/>
  <c r="AB346" i="1"/>
  <c r="Z346" i="1"/>
  <c r="J346" i="1"/>
  <c r="AL346" i="1" s="1"/>
  <c r="BJ345" i="1"/>
  <c r="BF345" i="1"/>
  <c r="BD345" i="1"/>
  <c r="AP345" i="1"/>
  <c r="BI345" i="1" s="1"/>
  <c r="AE345" i="1" s="1"/>
  <c r="AO345" i="1"/>
  <c r="BH345" i="1" s="1"/>
  <c r="AD345" i="1" s="1"/>
  <c r="AK345" i="1"/>
  <c r="AJ345" i="1"/>
  <c r="AH345" i="1"/>
  <c r="AG345" i="1"/>
  <c r="AF345" i="1"/>
  <c r="AC345" i="1"/>
  <c r="AB345" i="1"/>
  <c r="Z345" i="1"/>
  <c r="J345" i="1"/>
  <c r="AL345" i="1" s="1"/>
  <c r="BJ344" i="1"/>
  <c r="BF344" i="1"/>
  <c r="BD344" i="1"/>
  <c r="AP344" i="1"/>
  <c r="BI344" i="1" s="1"/>
  <c r="AE344" i="1" s="1"/>
  <c r="AO344" i="1"/>
  <c r="AL344" i="1"/>
  <c r="AK344" i="1"/>
  <c r="AJ344" i="1"/>
  <c r="AH344" i="1"/>
  <c r="AG344" i="1"/>
  <c r="AF344" i="1"/>
  <c r="AC344" i="1"/>
  <c r="AB344" i="1"/>
  <c r="Z344" i="1"/>
  <c r="J344" i="1"/>
  <c r="I344" i="1"/>
  <c r="H344" i="1"/>
  <c r="BJ343" i="1"/>
  <c r="BF343" i="1"/>
  <c r="BD343" i="1"/>
  <c r="AP343" i="1"/>
  <c r="BI343" i="1" s="1"/>
  <c r="AE343" i="1" s="1"/>
  <c r="AO343" i="1"/>
  <c r="AK343" i="1"/>
  <c r="AJ343" i="1"/>
  <c r="AH343" i="1"/>
  <c r="AG343" i="1"/>
  <c r="AF343" i="1"/>
  <c r="AC343" i="1"/>
  <c r="AB343" i="1"/>
  <c r="Z343" i="1"/>
  <c r="J343" i="1"/>
  <c r="AL343" i="1" s="1"/>
  <c r="BJ342" i="1"/>
  <c r="BI342" i="1"/>
  <c r="BF342" i="1"/>
  <c r="BD342" i="1"/>
  <c r="AX342" i="1"/>
  <c r="AP342" i="1"/>
  <c r="I342" i="1" s="1"/>
  <c r="AO342" i="1"/>
  <c r="AK342" i="1"/>
  <c r="AJ342" i="1"/>
  <c r="AH342" i="1"/>
  <c r="AG342" i="1"/>
  <c r="AF342" i="1"/>
  <c r="AE342" i="1"/>
  <c r="AC342" i="1"/>
  <c r="AB342" i="1"/>
  <c r="Z342" i="1"/>
  <c r="J342" i="1"/>
  <c r="AL342" i="1" s="1"/>
  <c r="BJ341" i="1"/>
  <c r="BI341" i="1"/>
  <c r="AE341" i="1" s="1"/>
  <c r="BF341" i="1"/>
  <c r="BD341" i="1"/>
  <c r="AP341" i="1"/>
  <c r="AO341" i="1"/>
  <c r="BH341" i="1" s="1"/>
  <c r="AD341" i="1" s="1"/>
  <c r="AL341" i="1"/>
  <c r="AK341" i="1"/>
  <c r="AJ341" i="1"/>
  <c r="AH341" i="1"/>
  <c r="AG341" i="1"/>
  <c r="AF341" i="1"/>
  <c r="AC341" i="1"/>
  <c r="AB341" i="1"/>
  <c r="Z341" i="1"/>
  <c r="J341" i="1"/>
  <c r="H341" i="1"/>
  <c r="BJ340" i="1"/>
  <c r="BF340" i="1"/>
  <c r="BD340" i="1"/>
  <c r="AP340" i="1"/>
  <c r="BI340" i="1" s="1"/>
  <c r="AE340" i="1" s="1"/>
  <c r="AO340" i="1"/>
  <c r="AK340" i="1"/>
  <c r="AJ340" i="1"/>
  <c r="AH340" i="1"/>
  <c r="AG340" i="1"/>
  <c r="AF340" i="1"/>
  <c r="AC340" i="1"/>
  <c r="AB340" i="1"/>
  <c r="Z340" i="1"/>
  <c r="J340" i="1"/>
  <c r="AL340" i="1" s="1"/>
  <c r="I340" i="1"/>
  <c r="H340" i="1"/>
  <c r="BJ339" i="1"/>
  <c r="BF339" i="1"/>
  <c r="BD339" i="1"/>
  <c r="AX339" i="1"/>
  <c r="AP339" i="1"/>
  <c r="BI339" i="1" s="1"/>
  <c r="AE339" i="1" s="1"/>
  <c r="AO339" i="1"/>
  <c r="H339" i="1" s="1"/>
  <c r="AL339" i="1"/>
  <c r="AK339" i="1"/>
  <c r="AJ339" i="1"/>
  <c r="AH339" i="1"/>
  <c r="AG339" i="1"/>
  <c r="AF339" i="1"/>
  <c r="AC339" i="1"/>
  <c r="AB339" i="1"/>
  <c r="Z339" i="1"/>
  <c r="J339" i="1"/>
  <c r="I339" i="1"/>
  <c r="BJ338" i="1"/>
  <c r="BF338" i="1"/>
  <c r="BD338" i="1"/>
  <c r="AP338" i="1"/>
  <c r="I338" i="1" s="1"/>
  <c r="AO338" i="1"/>
  <c r="BH338" i="1" s="1"/>
  <c r="AD338" i="1" s="1"/>
  <c r="AK338" i="1"/>
  <c r="AJ338" i="1"/>
  <c r="AH338" i="1"/>
  <c r="AG338" i="1"/>
  <c r="AF338" i="1"/>
  <c r="AC338" i="1"/>
  <c r="AB338" i="1"/>
  <c r="Z338" i="1"/>
  <c r="J338" i="1"/>
  <c r="BJ336" i="1"/>
  <c r="BF336" i="1"/>
  <c r="BD336" i="1"/>
  <c r="AP336" i="1"/>
  <c r="I336" i="1" s="1"/>
  <c r="AO336" i="1"/>
  <c r="H336" i="1" s="1"/>
  <c r="AK336" i="1"/>
  <c r="AJ336" i="1"/>
  <c r="AH336" i="1"/>
  <c r="AG336" i="1"/>
  <c r="AF336" i="1"/>
  <c r="AC336" i="1"/>
  <c r="AB336" i="1"/>
  <c r="Z336" i="1"/>
  <c r="J336" i="1"/>
  <c r="AL336" i="1" s="1"/>
  <c r="BJ335" i="1"/>
  <c r="BF335" i="1"/>
  <c r="BD335" i="1"/>
  <c r="AP335" i="1"/>
  <c r="I335" i="1" s="1"/>
  <c r="AO335" i="1"/>
  <c r="BH335" i="1" s="1"/>
  <c r="AD335" i="1" s="1"/>
  <c r="AK335" i="1"/>
  <c r="AJ335" i="1"/>
  <c r="AH335" i="1"/>
  <c r="AG335" i="1"/>
  <c r="AF335" i="1"/>
  <c r="AC335" i="1"/>
  <c r="AB335" i="1"/>
  <c r="Z335" i="1"/>
  <c r="J335" i="1"/>
  <c r="AL335" i="1" s="1"/>
  <c r="BJ334" i="1"/>
  <c r="BF334" i="1"/>
  <c r="BD334" i="1"/>
  <c r="AW334" i="1"/>
  <c r="AP334" i="1"/>
  <c r="AO334" i="1"/>
  <c r="BH334" i="1" s="1"/>
  <c r="AD334" i="1" s="1"/>
  <c r="AK334" i="1"/>
  <c r="AJ334" i="1"/>
  <c r="AH334" i="1"/>
  <c r="AG334" i="1"/>
  <c r="AF334" i="1"/>
  <c r="AC334" i="1"/>
  <c r="AB334" i="1"/>
  <c r="Z334" i="1"/>
  <c r="J334" i="1"/>
  <c r="AL334" i="1" s="1"/>
  <c r="H334" i="1"/>
  <c r="BJ333" i="1"/>
  <c r="BF333" i="1"/>
  <c r="BD333" i="1"/>
  <c r="AW333" i="1"/>
  <c r="AP333" i="1"/>
  <c r="AO333" i="1"/>
  <c r="BH333" i="1" s="1"/>
  <c r="AD333" i="1" s="1"/>
  <c r="AK333" i="1"/>
  <c r="AJ333" i="1"/>
  <c r="AH333" i="1"/>
  <c r="AG333" i="1"/>
  <c r="AF333" i="1"/>
  <c r="AC333" i="1"/>
  <c r="AB333" i="1"/>
  <c r="Z333" i="1"/>
  <c r="J333" i="1"/>
  <c r="AL333" i="1" s="1"/>
  <c r="I333" i="1"/>
  <c r="H333" i="1"/>
  <c r="BJ332" i="1"/>
  <c r="BF332" i="1"/>
  <c r="BD332" i="1"/>
  <c r="AP332" i="1"/>
  <c r="BI332" i="1" s="1"/>
  <c r="AE332" i="1" s="1"/>
  <c r="AO332" i="1"/>
  <c r="H332" i="1" s="1"/>
  <c r="AK332" i="1"/>
  <c r="AJ332" i="1"/>
  <c r="AH332" i="1"/>
  <c r="AG332" i="1"/>
  <c r="AF332" i="1"/>
  <c r="AC332" i="1"/>
  <c r="AB332" i="1"/>
  <c r="Z332" i="1"/>
  <c r="J332" i="1"/>
  <c r="AL332" i="1" s="1"/>
  <c r="BJ331" i="1"/>
  <c r="BF331" i="1"/>
  <c r="BD331" i="1"/>
  <c r="AP331" i="1"/>
  <c r="AO331" i="1"/>
  <c r="BH331" i="1" s="1"/>
  <c r="AD331" i="1" s="1"/>
  <c r="AK331" i="1"/>
  <c r="AJ331" i="1"/>
  <c r="AH331" i="1"/>
  <c r="AG331" i="1"/>
  <c r="AF331" i="1"/>
  <c r="AC331" i="1"/>
  <c r="AB331" i="1"/>
  <c r="Z331" i="1"/>
  <c r="J331" i="1"/>
  <c r="AL331" i="1" s="1"/>
  <c r="BJ330" i="1"/>
  <c r="BF330" i="1"/>
  <c r="BD330" i="1"/>
  <c r="AP330" i="1"/>
  <c r="BI330" i="1" s="1"/>
  <c r="AE330" i="1" s="1"/>
  <c r="AO330" i="1"/>
  <c r="BH330" i="1" s="1"/>
  <c r="AD330" i="1" s="1"/>
  <c r="AL330" i="1"/>
  <c r="AK330" i="1"/>
  <c r="AJ330" i="1"/>
  <c r="AH330" i="1"/>
  <c r="AG330" i="1"/>
  <c r="AF330" i="1"/>
  <c r="AC330" i="1"/>
  <c r="AB330" i="1"/>
  <c r="Z330" i="1"/>
  <c r="J330" i="1"/>
  <c r="H330" i="1"/>
  <c r="BJ329" i="1"/>
  <c r="BF329" i="1"/>
  <c r="BD329" i="1"/>
  <c r="AW329" i="1"/>
  <c r="AP329" i="1"/>
  <c r="AO329" i="1"/>
  <c r="BH329" i="1" s="1"/>
  <c r="AD329" i="1" s="1"/>
  <c r="AL329" i="1"/>
  <c r="AK329" i="1"/>
  <c r="AJ329" i="1"/>
  <c r="AH329" i="1"/>
  <c r="AG329" i="1"/>
  <c r="AF329" i="1"/>
  <c r="AC329" i="1"/>
  <c r="AB329" i="1"/>
  <c r="Z329" i="1"/>
  <c r="J329" i="1"/>
  <c r="I329" i="1"/>
  <c r="H329" i="1"/>
  <c r="BJ328" i="1"/>
  <c r="BH328" i="1"/>
  <c r="AD328" i="1" s="1"/>
  <c r="BF328" i="1"/>
  <c r="BD328" i="1"/>
  <c r="AP328" i="1"/>
  <c r="BI328" i="1" s="1"/>
  <c r="AE328" i="1" s="1"/>
  <c r="AO328" i="1"/>
  <c r="H328" i="1" s="1"/>
  <c r="AK328" i="1"/>
  <c r="AJ328" i="1"/>
  <c r="AH328" i="1"/>
  <c r="AG328" i="1"/>
  <c r="AF328" i="1"/>
  <c r="AC328" i="1"/>
  <c r="AB328" i="1"/>
  <c r="Z328" i="1"/>
  <c r="J328" i="1"/>
  <c r="AL328" i="1" s="1"/>
  <c r="I328" i="1"/>
  <c r="BJ327" i="1"/>
  <c r="BI327" i="1"/>
  <c r="AE327" i="1" s="1"/>
  <c r="BF327" i="1"/>
  <c r="BD327" i="1"/>
  <c r="AP327" i="1"/>
  <c r="I327" i="1" s="1"/>
  <c r="AO327" i="1"/>
  <c r="BH327" i="1" s="1"/>
  <c r="AD327" i="1" s="1"/>
  <c r="AK327" i="1"/>
  <c r="AJ327" i="1"/>
  <c r="AH327" i="1"/>
  <c r="AG327" i="1"/>
  <c r="AF327" i="1"/>
  <c r="AC327" i="1"/>
  <c r="AB327" i="1"/>
  <c r="Z327" i="1"/>
  <c r="J327" i="1"/>
  <c r="AL327" i="1" s="1"/>
  <c r="BJ326" i="1"/>
  <c r="BI326" i="1"/>
  <c r="AE326" i="1" s="1"/>
  <c r="BF326" i="1"/>
  <c r="BD326" i="1"/>
  <c r="AP326" i="1"/>
  <c r="AO326" i="1"/>
  <c r="BH326" i="1" s="1"/>
  <c r="AD326" i="1" s="1"/>
  <c r="AL326" i="1"/>
  <c r="AK326" i="1"/>
  <c r="AJ326" i="1"/>
  <c r="AH326" i="1"/>
  <c r="AG326" i="1"/>
  <c r="AF326" i="1"/>
  <c r="AC326" i="1"/>
  <c r="AB326" i="1"/>
  <c r="Z326" i="1"/>
  <c r="J326" i="1"/>
  <c r="H326" i="1"/>
  <c r="BJ325" i="1"/>
  <c r="BF325" i="1"/>
  <c r="BD325" i="1"/>
  <c r="AP325" i="1"/>
  <c r="AO325" i="1"/>
  <c r="BH325" i="1" s="1"/>
  <c r="AD325" i="1" s="1"/>
  <c r="AL325" i="1"/>
  <c r="AK325" i="1"/>
  <c r="AJ325" i="1"/>
  <c r="AH325" i="1"/>
  <c r="AG325" i="1"/>
  <c r="AF325" i="1"/>
  <c r="AC325" i="1"/>
  <c r="AB325" i="1"/>
  <c r="Z325" i="1"/>
  <c r="J325" i="1"/>
  <c r="I325" i="1"/>
  <c r="H325" i="1"/>
  <c r="BJ324" i="1"/>
  <c r="BH324" i="1"/>
  <c r="AD324" i="1" s="1"/>
  <c r="BF324" i="1"/>
  <c r="BD324" i="1"/>
  <c r="AX324" i="1"/>
  <c r="AP324" i="1"/>
  <c r="BI324" i="1" s="1"/>
  <c r="AE324" i="1" s="1"/>
  <c r="AO324" i="1"/>
  <c r="H324" i="1" s="1"/>
  <c r="AK324" i="1"/>
  <c r="AJ324" i="1"/>
  <c r="AH324" i="1"/>
  <c r="AG324" i="1"/>
  <c r="AF324" i="1"/>
  <c r="AC324" i="1"/>
  <c r="AB324" i="1"/>
  <c r="Z324" i="1"/>
  <c r="J324" i="1"/>
  <c r="AL324" i="1" s="1"/>
  <c r="I324" i="1"/>
  <c r="BJ323" i="1"/>
  <c r="BF323" i="1"/>
  <c r="BD323" i="1"/>
  <c r="AP323" i="1"/>
  <c r="AO323" i="1"/>
  <c r="AK323" i="1"/>
  <c r="AJ323" i="1"/>
  <c r="AH323" i="1"/>
  <c r="AG323" i="1"/>
  <c r="AF323" i="1"/>
  <c r="AC323" i="1"/>
  <c r="AB323" i="1"/>
  <c r="Z323" i="1"/>
  <c r="J323" i="1"/>
  <c r="AL323" i="1" s="1"/>
  <c r="BJ322" i="1"/>
  <c r="BF322" i="1"/>
  <c r="BD322" i="1"/>
  <c r="AP322" i="1"/>
  <c r="BI322" i="1" s="1"/>
  <c r="AE322" i="1" s="1"/>
  <c r="AO322" i="1"/>
  <c r="BH322" i="1" s="1"/>
  <c r="AD322" i="1" s="1"/>
  <c r="AK322" i="1"/>
  <c r="AJ322" i="1"/>
  <c r="AH322" i="1"/>
  <c r="AG322" i="1"/>
  <c r="AF322" i="1"/>
  <c r="AC322" i="1"/>
  <c r="AB322" i="1"/>
  <c r="Z322" i="1"/>
  <c r="J322" i="1"/>
  <c r="AL322" i="1" s="1"/>
  <c r="H322" i="1"/>
  <c r="BJ321" i="1"/>
  <c r="BF321" i="1"/>
  <c r="BD321" i="1"/>
  <c r="AW321" i="1"/>
  <c r="AP321" i="1"/>
  <c r="BI321" i="1" s="1"/>
  <c r="AE321" i="1" s="1"/>
  <c r="AO321" i="1"/>
  <c r="BH321" i="1" s="1"/>
  <c r="AD321" i="1" s="1"/>
  <c r="AK321" i="1"/>
  <c r="AJ321" i="1"/>
  <c r="AH321" i="1"/>
  <c r="AG321" i="1"/>
  <c r="AF321" i="1"/>
  <c r="AC321" i="1"/>
  <c r="AB321" i="1"/>
  <c r="Z321" i="1"/>
  <c r="J321" i="1"/>
  <c r="AL321" i="1" s="1"/>
  <c r="H321" i="1"/>
  <c r="BJ320" i="1"/>
  <c r="BF320" i="1"/>
  <c r="BD320" i="1"/>
  <c r="AP320" i="1"/>
  <c r="BI320" i="1" s="1"/>
  <c r="AE320" i="1" s="1"/>
  <c r="AO320" i="1"/>
  <c r="H320" i="1" s="1"/>
  <c r="AK320" i="1"/>
  <c r="AJ320" i="1"/>
  <c r="AH320" i="1"/>
  <c r="AG320" i="1"/>
  <c r="AF320" i="1"/>
  <c r="AC320" i="1"/>
  <c r="AB320" i="1"/>
  <c r="Z320" i="1"/>
  <c r="J320" i="1"/>
  <c r="AL320" i="1" s="1"/>
  <c r="I320" i="1"/>
  <c r="BJ319" i="1"/>
  <c r="BF319" i="1"/>
  <c r="BD319" i="1"/>
  <c r="AP319" i="1"/>
  <c r="I319" i="1" s="1"/>
  <c r="AO319" i="1"/>
  <c r="BH319" i="1" s="1"/>
  <c r="AD319" i="1" s="1"/>
  <c r="AK319" i="1"/>
  <c r="AJ319" i="1"/>
  <c r="AH319" i="1"/>
  <c r="AG319" i="1"/>
  <c r="AF319" i="1"/>
  <c r="AC319" i="1"/>
  <c r="AB319" i="1"/>
  <c r="Z319" i="1"/>
  <c r="J319" i="1"/>
  <c r="AL319" i="1" s="1"/>
  <c r="BJ318" i="1"/>
  <c r="BF318" i="1"/>
  <c r="BD318" i="1"/>
  <c r="AW318" i="1"/>
  <c r="AP318" i="1"/>
  <c r="AO318" i="1"/>
  <c r="BH318" i="1" s="1"/>
  <c r="AD318" i="1" s="1"/>
  <c r="AK318" i="1"/>
  <c r="AJ318" i="1"/>
  <c r="AH318" i="1"/>
  <c r="AG318" i="1"/>
  <c r="AF318" i="1"/>
  <c r="AC318" i="1"/>
  <c r="AB318" i="1"/>
  <c r="Z318" i="1"/>
  <c r="J318" i="1"/>
  <c r="AL318" i="1" s="1"/>
  <c r="H318" i="1"/>
  <c r="BJ317" i="1"/>
  <c r="BF317" i="1"/>
  <c r="BD317" i="1"/>
  <c r="AX317" i="1"/>
  <c r="AW317" i="1"/>
  <c r="BC317" i="1" s="1"/>
  <c r="AP317" i="1"/>
  <c r="BI317" i="1" s="1"/>
  <c r="AE317" i="1" s="1"/>
  <c r="AO317" i="1"/>
  <c r="BH317" i="1" s="1"/>
  <c r="AD317" i="1" s="1"/>
  <c r="AL317" i="1"/>
  <c r="AK317" i="1"/>
  <c r="AJ317" i="1"/>
  <c r="AH317" i="1"/>
  <c r="AG317" i="1"/>
  <c r="AF317" i="1"/>
  <c r="AC317" i="1"/>
  <c r="AB317" i="1"/>
  <c r="Z317" i="1"/>
  <c r="J317" i="1"/>
  <c r="I317" i="1"/>
  <c r="H317" i="1"/>
  <c r="BJ316" i="1"/>
  <c r="BF316" i="1"/>
  <c r="BD316" i="1"/>
  <c r="AX316" i="1"/>
  <c r="AP316" i="1"/>
  <c r="BI316" i="1" s="1"/>
  <c r="AE316" i="1" s="1"/>
  <c r="AO316" i="1"/>
  <c r="H316" i="1" s="1"/>
  <c r="AK316" i="1"/>
  <c r="AJ316" i="1"/>
  <c r="AH316" i="1"/>
  <c r="AG316" i="1"/>
  <c r="AF316" i="1"/>
  <c r="AC316" i="1"/>
  <c r="AB316" i="1"/>
  <c r="Z316" i="1"/>
  <c r="J316" i="1"/>
  <c r="AL316" i="1" s="1"/>
  <c r="I316" i="1"/>
  <c r="BJ315" i="1"/>
  <c r="BF315" i="1"/>
  <c r="BD315" i="1"/>
  <c r="AP315" i="1"/>
  <c r="I315" i="1" s="1"/>
  <c r="AO315" i="1"/>
  <c r="BH315" i="1" s="1"/>
  <c r="AD315" i="1" s="1"/>
  <c r="AK315" i="1"/>
  <c r="AJ315" i="1"/>
  <c r="AH315" i="1"/>
  <c r="AG315" i="1"/>
  <c r="AF315" i="1"/>
  <c r="AC315" i="1"/>
  <c r="AB315" i="1"/>
  <c r="Z315" i="1"/>
  <c r="J315" i="1"/>
  <c r="AL315" i="1" s="1"/>
  <c r="BJ314" i="1"/>
  <c r="BF314" i="1"/>
  <c r="BD314" i="1"/>
  <c r="AW314" i="1"/>
  <c r="AP314" i="1"/>
  <c r="BI314" i="1" s="1"/>
  <c r="AE314" i="1" s="1"/>
  <c r="AO314" i="1"/>
  <c r="BH314" i="1" s="1"/>
  <c r="AD314" i="1" s="1"/>
  <c r="AL314" i="1"/>
  <c r="AK314" i="1"/>
  <c r="AJ314" i="1"/>
  <c r="AH314" i="1"/>
  <c r="AG314" i="1"/>
  <c r="AF314" i="1"/>
  <c r="AC314" i="1"/>
  <c r="AB314" i="1"/>
  <c r="Z314" i="1"/>
  <c r="J314" i="1"/>
  <c r="H314" i="1"/>
  <c r="BJ313" i="1"/>
  <c r="BF313" i="1"/>
  <c r="BD313" i="1"/>
  <c r="AP313" i="1"/>
  <c r="BI313" i="1" s="1"/>
  <c r="AE313" i="1" s="1"/>
  <c r="AO313" i="1"/>
  <c r="BH313" i="1" s="1"/>
  <c r="AD313" i="1" s="1"/>
  <c r="AL313" i="1"/>
  <c r="AK313" i="1"/>
  <c r="AJ313" i="1"/>
  <c r="AH313" i="1"/>
  <c r="AG313" i="1"/>
  <c r="AF313" i="1"/>
  <c r="AC313" i="1"/>
  <c r="AB313" i="1"/>
  <c r="Z313" i="1"/>
  <c r="J313" i="1"/>
  <c r="I313" i="1"/>
  <c r="H313" i="1"/>
  <c r="BJ312" i="1"/>
  <c r="BF312" i="1"/>
  <c r="BD312" i="1"/>
  <c r="AW312" i="1"/>
  <c r="AP312" i="1"/>
  <c r="I312" i="1" s="1"/>
  <c r="AO312" i="1"/>
  <c r="H312" i="1" s="1"/>
  <c r="AK312" i="1"/>
  <c r="AJ312" i="1"/>
  <c r="AH312" i="1"/>
  <c r="AG312" i="1"/>
  <c r="AF312" i="1"/>
  <c r="AC312" i="1"/>
  <c r="AB312" i="1"/>
  <c r="Z312" i="1"/>
  <c r="J312" i="1"/>
  <c r="AL312" i="1" s="1"/>
  <c r="BJ311" i="1"/>
  <c r="BF311" i="1"/>
  <c r="BD311" i="1"/>
  <c r="AP311" i="1"/>
  <c r="I311" i="1" s="1"/>
  <c r="AO311" i="1"/>
  <c r="BH311" i="1" s="1"/>
  <c r="AK311" i="1"/>
  <c r="AJ311" i="1"/>
  <c r="AH311" i="1"/>
  <c r="AG311" i="1"/>
  <c r="AF311" i="1"/>
  <c r="AD311" i="1"/>
  <c r="AC311" i="1"/>
  <c r="AB311" i="1"/>
  <c r="Z311" i="1"/>
  <c r="J311" i="1"/>
  <c r="AL311" i="1" s="1"/>
  <c r="BJ310" i="1"/>
  <c r="BI310" i="1"/>
  <c r="AE310" i="1" s="1"/>
  <c r="BF310" i="1"/>
  <c r="BD310" i="1"/>
  <c r="AP310" i="1"/>
  <c r="AO310" i="1"/>
  <c r="AK310" i="1"/>
  <c r="AJ310" i="1"/>
  <c r="AH310" i="1"/>
  <c r="AG310" i="1"/>
  <c r="AF310" i="1"/>
  <c r="AC310" i="1"/>
  <c r="AB310" i="1"/>
  <c r="Z310" i="1"/>
  <c r="J310" i="1"/>
  <c r="AL310" i="1" s="1"/>
  <c r="BJ309" i="1"/>
  <c r="BF309" i="1"/>
  <c r="BD309" i="1"/>
  <c r="AP309" i="1"/>
  <c r="BI309" i="1" s="1"/>
  <c r="AE309" i="1" s="1"/>
  <c r="AO309" i="1"/>
  <c r="BH309" i="1" s="1"/>
  <c r="AD309" i="1" s="1"/>
  <c r="AL309" i="1"/>
  <c r="AK309" i="1"/>
  <c r="AJ309" i="1"/>
  <c r="AH309" i="1"/>
  <c r="AG309" i="1"/>
  <c r="AF309" i="1"/>
  <c r="AC309" i="1"/>
  <c r="AB309" i="1"/>
  <c r="Z309" i="1"/>
  <c r="J309" i="1"/>
  <c r="I309" i="1"/>
  <c r="BJ308" i="1"/>
  <c r="BF308" i="1"/>
  <c r="BD308" i="1"/>
  <c r="AX308" i="1"/>
  <c r="AP308" i="1"/>
  <c r="BI308" i="1" s="1"/>
  <c r="AE308" i="1" s="1"/>
  <c r="AO308" i="1"/>
  <c r="AL308" i="1"/>
  <c r="AK308" i="1"/>
  <c r="AJ308" i="1"/>
  <c r="AH308" i="1"/>
  <c r="AG308" i="1"/>
  <c r="AF308" i="1"/>
  <c r="AC308" i="1"/>
  <c r="AB308" i="1"/>
  <c r="Z308" i="1"/>
  <c r="J308" i="1"/>
  <c r="I308" i="1"/>
  <c r="BJ307" i="1"/>
  <c r="BI307" i="1"/>
  <c r="AE307" i="1" s="1"/>
  <c r="BF307" i="1"/>
  <c r="BD307" i="1"/>
  <c r="AP307" i="1"/>
  <c r="I307" i="1" s="1"/>
  <c r="AO307" i="1"/>
  <c r="AW307" i="1" s="1"/>
  <c r="AK307" i="1"/>
  <c r="AJ307" i="1"/>
  <c r="AH307" i="1"/>
  <c r="AG307" i="1"/>
  <c r="AF307" i="1"/>
  <c r="AC307" i="1"/>
  <c r="AB307" i="1"/>
  <c r="Z307" i="1"/>
  <c r="J307" i="1"/>
  <c r="AL307" i="1" s="1"/>
  <c r="H307" i="1"/>
  <c r="BJ306" i="1"/>
  <c r="BF306" i="1"/>
  <c r="BD306" i="1"/>
  <c r="AP306" i="1"/>
  <c r="AO306" i="1"/>
  <c r="BH306" i="1" s="1"/>
  <c r="AD306" i="1" s="1"/>
  <c r="AL306" i="1"/>
  <c r="AK306" i="1"/>
  <c r="AJ306" i="1"/>
  <c r="AH306" i="1"/>
  <c r="AG306" i="1"/>
  <c r="AF306" i="1"/>
  <c r="AC306" i="1"/>
  <c r="AB306" i="1"/>
  <c r="Z306" i="1"/>
  <c r="J306" i="1"/>
  <c r="H306" i="1"/>
  <c r="BJ305" i="1"/>
  <c r="BH305" i="1"/>
  <c r="AD305" i="1" s="1"/>
  <c r="BF305" i="1"/>
  <c r="BD305" i="1"/>
  <c r="AP305" i="1"/>
  <c r="BI305" i="1" s="1"/>
  <c r="AE305" i="1" s="1"/>
  <c r="AO305" i="1"/>
  <c r="AW305" i="1" s="1"/>
  <c r="AK305" i="1"/>
  <c r="AJ305" i="1"/>
  <c r="AH305" i="1"/>
  <c r="AG305" i="1"/>
  <c r="AF305" i="1"/>
  <c r="AC305" i="1"/>
  <c r="AB305" i="1"/>
  <c r="Z305" i="1"/>
  <c r="J305" i="1"/>
  <c r="AL305" i="1" s="1"/>
  <c r="I305" i="1"/>
  <c r="H305" i="1"/>
  <c r="BJ304" i="1"/>
  <c r="BF304" i="1"/>
  <c r="BD304" i="1"/>
  <c r="AP304" i="1"/>
  <c r="AO304" i="1"/>
  <c r="H304" i="1" s="1"/>
  <c r="AK304" i="1"/>
  <c r="AJ304" i="1"/>
  <c r="AH304" i="1"/>
  <c r="AG304" i="1"/>
  <c r="AF304" i="1"/>
  <c r="AC304" i="1"/>
  <c r="AB304" i="1"/>
  <c r="Z304" i="1"/>
  <c r="J304" i="1"/>
  <c r="AL304" i="1" s="1"/>
  <c r="BJ303" i="1"/>
  <c r="BH303" i="1"/>
  <c r="AD303" i="1" s="1"/>
  <c r="BF303" i="1"/>
  <c r="BD303" i="1"/>
  <c r="AP303" i="1"/>
  <c r="I303" i="1" s="1"/>
  <c r="AO303" i="1"/>
  <c r="AW303" i="1" s="1"/>
  <c r="AK303" i="1"/>
  <c r="AJ303" i="1"/>
  <c r="AH303" i="1"/>
  <c r="AG303" i="1"/>
  <c r="AF303" i="1"/>
  <c r="AC303" i="1"/>
  <c r="AB303" i="1"/>
  <c r="Z303" i="1"/>
  <c r="J303" i="1"/>
  <c r="AL303" i="1" s="1"/>
  <c r="H303" i="1"/>
  <c r="BJ302" i="1"/>
  <c r="BF302" i="1"/>
  <c r="BD302" i="1"/>
  <c r="AP302" i="1"/>
  <c r="AO302" i="1"/>
  <c r="BH302" i="1" s="1"/>
  <c r="AD302" i="1" s="1"/>
  <c r="AK302" i="1"/>
  <c r="AJ302" i="1"/>
  <c r="AH302" i="1"/>
  <c r="AG302" i="1"/>
  <c r="AF302" i="1"/>
  <c r="AC302" i="1"/>
  <c r="AB302" i="1"/>
  <c r="Z302" i="1"/>
  <c r="J302" i="1"/>
  <c r="AL302" i="1" s="1"/>
  <c r="H302" i="1"/>
  <c r="BJ301" i="1"/>
  <c r="BF301" i="1"/>
  <c r="BD301" i="1"/>
  <c r="AP301" i="1"/>
  <c r="BI301" i="1" s="1"/>
  <c r="AE301" i="1" s="1"/>
  <c r="AO301" i="1"/>
  <c r="BH301" i="1" s="1"/>
  <c r="AD301" i="1" s="1"/>
  <c r="AK301" i="1"/>
  <c r="AJ301" i="1"/>
  <c r="AH301" i="1"/>
  <c r="AG301" i="1"/>
  <c r="AF301" i="1"/>
  <c r="AC301" i="1"/>
  <c r="AB301" i="1"/>
  <c r="Z301" i="1"/>
  <c r="J301" i="1"/>
  <c r="AL301" i="1" s="1"/>
  <c r="I301" i="1"/>
  <c r="BJ300" i="1"/>
  <c r="BH300" i="1"/>
  <c r="AD300" i="1" s="1"/>
  <c r="BF300" i="1"/>
  <c r="BD300" i="1"/>
  <c r="AP300" i="1"/>
  <c r="BI300" i="1" s="1"/>
  <c r="AE300" i="1" s="1"/>
  <c r="AO300" i="1"/>
  <c r="H300" i="1" s="1"/>
  <c r="AL300" i="1"/>
  <c r="AK300" i="1"/>
  <c r="AJ300" i="1"/>
  <c r="AH300" i="1"/>
  <c r="AG300" i="1"/>
  <c r="AF300" i="1"/>
  <c r="AC300" i="1"/>
  <c r="AB300" i="1"/>
  <c r="Z300" i="1"/>
  <c r="J300" i="1"/>
  <c r="BJ299" i="1"/>
  <c r="BI299" i="1"/>
  <c r="AE299" i="1" s="1"/>
  <c r="BF299" i="1"/>
  <c r="BD299" i="1"/>
  <c r="AP299" i="1"/>
  <c r="I299" i="1" s="1"/>
  <c r="AO299" i="1"/>
  <c r="H299" i="1" s="1"/>
  <c r="AK299" i="1"/>
  <c r="AJ299" i="1"/>
  <c r="AH299" i="1"/>
  <c r="AG299" i="1"/>
  <c r="AF299" i="1"/>
  <c r="AC299" i="1"/>
  <c r="AB299" i="1"/>
  <c r="Z299" i="1"/>
  <c r="J299" i="1"/>
  <c r="AL299" i="1" s="1"/>
  <c r="BJ298" i="1"/>
  <c r="BF298" i="1"/>
  <c r="BD298" i="1"/>
  <c r="AW298" i="1"/>
  <c r="AP298" i="1"/>
  <c r="AO298" i="1"/>
  <c r="BH298" i="1" s="1"/>
  <c r="AD298" i="1" s="1"/>
  <c r="AK298" i="1"/>
  <c r="AJ298" i="1"/>
  <c r="AH298" i="1"/>
  <c r="AG298" i="1"/>
  <c r="AF298" i="1"/>
  <c r="AC298" i="1"/>
  <c r="AB298" i="1"/>
  <c r="Z298" i="1"/>
  <c r="J298" i="1"/>
  <c r="AL298" i="1" s="1"/>
  <c r="H298" i="1"/>
  <c r="BJ297" i="1"/>
  <c r="BH297" i="1"/>
  <c r="AD297" i="1" s="1"/>
  <c r="BF297" i="1"/>
  <c r="BD297" i="1"/>
  <c r="AX297" i="1"/>
  <c r="AW297" i="1"/>
  <c r="AP297" i="1"/>
  <c r="BI297" i="1" s="1"/>
  <c r="AE297" i="1" s="1"/>
  <c r="AO297" i="1"/>
  <c r="AK297" i="1"/>
  <c r="AJ297" i="1"/>
  <c r="AH297" i="1"/>
  <c r="AG297" i="1"/>
  <c r="AF297" i="1"/>
  <c r="AC297" i="1"/>
  <c r="AB297" i="1"/>
  <c r="Z297" i="1"/>
  <c r="J297" i="1"/>
  <c r="AL297" i="1" s="1"/>
  <c r="I297" i="1"/>
  <c r="H297" i="1"/>
  <c r="BJ296" i="1"/>
  <c r="BI296" i="1"/>
  <c r="AE296" i="1" s="1"/>
  <c r="BF296" i="1"/>
  <c r="BD296" i="1"/>
  <c r="AP296" i="1"/>
  <c r="AX296" i="1" s="1"/>
  <c r="AO296" i="1"/>
  <c r="AK296" i="1"/>
  <c r="AJ296" i="1"/>
  <c r="AH296" i="1"/>
  <c r="AG296" i="1"/>
  <c r="AF296" i="1"/>
  <c r="AC296" i="1"/>
  <c r="AB296" i="1"/>
  <c r="Z296" i="1"/>
  <c r="J296" i="1"/>
  <c r="AL296" i="1" s="1"/>
  <c r="BJ295" i="1"/>
  <c r="BF295" i="1"/>
  <c r="BD295" i="1"/>
  <c r="AP295" i="1"/>
  <c r="AO295" i="1"/>
  <c r="AK295" i="1"/>
  <c r="AJ295" i="1"/>
  <c r="AH295" i="1"/>
  <c r="AG295" i="1"/>
  <c r="AF295" i="1"/>
  <c r="AC295" i="1"/>
  <c r="AB295" i="1"/>
  <c r="Z295" i="1"/>
  <c r="J295" i="1"/>
  <c r="AL295" i="1" s="1"/>
  <c r="BJ294" i="1"/>
  <c r="BF294" i="1"/>
  <c r="BD294" i="1"/>
  <c r="AW294" i="1"/>
  <c r="BC294" i="1" s="1"/>
  <c r="AP294" i="1"/>
  <c r="AX294" i="1" s="1"/>
  <c r="AO294" i="1"/>
  <c r="BH294" i="1" s="1"/>
  <c r="AD294" i="1" s="1"/>
  <c r="AK294" i="1"/>
  <c r="AJ294" i="1"/>
  <c r="AH294" i="1"/>
  <c r="AG294" i="1"/>
  <c r="AF294" i="1"/>
  <c r="AC294" i="1"/>
  <c r="AB294" i="1"/>
  <c r="Z294" i="1"/>
  <c r="J294" i="1"/>
  <c r="AL294" i="1" s="1"/>
  <c r="I294" i="1"/>
  <c r="H294" i="1"/>
  <c r="BJ293" i="1"/>
  <c r="BF293" i="1"/>
  <c r="BD293" i="1"/>
  <c r="AX293" i="1"/>
  <c r="AP293" i="1"/>
  <c r="BI293" i="1" s="1"/>
  <c r="AE293" i="1" s="1"/>
  <c r="AO293" i="1"/>
  <c r="AK293" i="1"/>
  <c r="AJ293" i="1"/>
  <c r="AH293" i="1"/>
  <c r="AG293" i="1"/>
  <c r="AF293" i="1"/>
  <c r="AC293" i="1"/>
  <c r="AB293" i="1"/>
  <c r="Z293" i="1"/>
  <c r="J293" i="1"/>
  <c r="AL293" i="1" s="1"/>
  <c r="I293" i="1"/>
  <c r="BJ292" i="1"/>
  <c r="BF292" i="1"/>
  <c r="BD292" i="1"/>
  <c r="AX292" i="1"/>
  <c r="AW292" i="1"/>
  <c r="BC292" i="1" s="1"/>
  <c r="AP292" i="1"/>
  <c r="BI292" i="1" s="1"/>
  <c r="AE292" i="1" s="1"/>
  <c r="AO292" i="1"/>
  <c r="H292" i="1" s="1"/>
  <c r="AL292" i="1"/>
  <c r="AK292" i="1"/>
  <c r="AJ292" i="1"/>
  <c r="AH292" i="1"/>
  <c r="AG292" i="1"/>
  <c r="AF292" i="1"/>
  <c r="AC292" i="1"/>
  <c r="AB292" i="1"/>
  <c r="Z292" i="1"/>
  <c r="J292" i="1"/>
  <c r="I292" i="1"/>
  <c r="BJ291" i="1"/>
  <c r="BF291" i="1"/>
  <c r="BD291" i="1"/>
  <c r="AP291" i="1"/>
  <c r="I291" i="1" s="1"/>
  <c r="AO291" i="1"/>
  <c r="AW291" i="1" s="1"/>
  <c r="AK291" i="1"/>
  <c r="AJ291" i="1"/>
  <c r="AH291" i="1"/>
  <c r="AG291" i="1"/>
  <c r="AF291" i="1"/>
  <c r="AC291" i="1"/>
  <c r="AB291" i="1"/>
  <c r="Z291" i="1"/>
  <c r="J291" i="1"/>
  <c r="AL291" i="1" s="1"/>
  <c r="H291" i="1"/>
  <c r="BJ290" i="1"/>
  <c r="BF290" i="1"/>
  <c r="BD290" i="1"/>
  <c r="AW290" i="1"/>
  <c r="AP290" i="1"/>
  <c r="AX290" i="1" s="1"/>
  <c r="AO290" i="1"/>
  <c r="BH290" i="1" s="1"/>
  <c r="AD290" i="1" s="1"/>
  <c r="AK290" i="1"/>
  <c r="AJ290" i="1"/>
  <c r="AH290" i="1"/>
  <c r="AG290" i="1"/>
  <c r="AF290" i="1"/>
  <c r="AC290" i="1"/>
  <c r="AB290" i="1"/>
  <c r="Z290" i="1"/>
  <c r="J290" i="1"/>
  <c r="AL290" i="1" s="1"/>
  <c r="H290" i="1"/>
  <c r="BJ289" i="1"/>
  <c r="BH289" i="1"/>
  <c r="BF289" i="1"/>
  <c r="BD289" i="1"/>
  <c r="AX289" i="1"/>
  <c r="AW289" i="1"/>
  <c r="BC289" i="1" s="1"/>
  <c r="AP289" i="1"/>
  <c r="BI289" i="1" s="1"/>
  <c r="AE289" i="1" s="1"/>
  <c r="AO289" i="1"/>
  <c r="AK289" i="1"/>
  <c r="AJ289" i="1"/>
  <c r="AH289" i="1"/>
  <c r="AG289" i="1"/>
  <c r="AF289" i="1"/>
  <c r="AD289" i="1"/>
  <c r="AC289" i="1"/>
  <c r="AB289" i="1"/>
  <c r="Z289" i="1"/>
  <c r="J289" i="1"/>
  <c r="AL289" i="1" s="1"/>
  <c r="I289" i="1"/>
  <c r="H289" i="1"/>
  <c r="BJ288" i="1"/>
  <c r="BF288" i="1"/>
  <c r="BD288" i="1"/>
  <c r="AP288" i="1"/>
  <c r="BI288" i="1" s="1"/>
  <c r="AE288" i="1" s="1"/>
  <c r="AO288" i="1"/>
  <c r="AK288" i="1"/>
  <c r="AJ288" i="1"/>
  <c r="AH288" i="1"/>
  <c r="AG288" i="1"/>
  <c r="AF288" i="1"/>
  <c r="AC288" i="1"/>
  <c r="AB288" i="1"/>
  <c r="Z288" i="1"/>
  <c r="J288" i="1"/>
  <c r="AL288" i="1" s="1"/>
  <c r="I288" i="1"/>
  <c r="BJ287" i="1"/>
  <c r="BH287" i="1"/>
  <c r="AD287" i="1" s="1"/>
  <c r="BF287" i="1"/>
  <c r="BD287" i="1"/>
  <c r="AX287" i="1"/>
  <c r="AV287" i="1" s="1"/>
  <c r="AP287" i="1"/>
  <c r="I287" i="1" s="1"/>
  <c r="AO287" i="1"/>
  <c r="AW287" i="1" s="1"/>
  <c r="AK287" i="1"/>
  <c r="AJ287" i="1"/>
  <c r="AH287" i="1"/>
  <c r="AG287" i="1"/>
  <c r="AF287" i="1"/>
  <c r="AC287" i="1"/>
  <c r="AB287" i="1"/>
  <c r="Z287" i="1"/>
  <c r="J287" i="1"/>
  <c r="AL287" i="1" s="1"/>
  <c r="H287" i="1"/>
  <c r="BJ286" i="1"/>
  <c r="BF286" i="1"/>
  <c r="BD286" i="1"/>
  <c r="AP286" i="1"/>
  <c r="AX286" i="1" s="1"/>
  <c r="AO286" i="1"/>
  <c r="AK286" i="1"/>
  <c r="AJ286" i="1"/>
  <c r="AH286" i="1"/>
  <c r="AG286" i="1"/>
  <c r="AF286" i="1"/>
  <c r="AC286" i="1"/>
  <c r="AB286" i="1"/>
  <c r="Z286" i="1"/>
  <c r="J286" i="1"/>
  <c r="AL286" i="1" s="1"/>
  <c r="I286" i="1"/>
  <c r="BJ285" i="1"/>
  <c r="BF285" i="1"/>
  <c r="BD285" i="1"/>
  <c r="AX285" i="1"/>
  <c r="AP285" i="1"/>
  <c r="BI285" i="1" s="1"/>
  <c r="AE285" i="1" s="1"/>
  <c r="AO285" i="1"/>
  <c r="BH285" i="1" s="1"/>
  <c r="AD285" i="1" s="1"/>
  <c r="AK285" i="1"/>
  <c r="AJ285" i="1"/>
  <c r="AH285" i="1"/>
  <c r="AG285" i="1"/>
  <c r="AF285" i="1"/>
  <c r="AC285" i="1"/>
  <c r="AB285" i="1"/>
  <c r="Z285" i="1"/>
  <c r="J285" i="1"/>
  <c r="AL285" i="1" s="1"/>
  <c r="I285" i="1"/>
  <c r="BJ284" i="1"/>
  <c r="BF284" i="1"/>
  <c r="BD284" i="1"/>
  <c r="AP284" i="1"/>
  <c r="AO284" i="1"/>
  <c r="H284" i="1" s="1"/>
  <c r="AK284" i="1"/>
  <c r="AJ284" i="1"/>
  <c r="AH284" i="1"/>
  <c r="AG284" i="1"/>
  <c r="AF284" i="1"/>
  <c r="AC284" i="1"/>
  <c r="AB284" i="1"/>
  <c r="Z284" i="1"/>
  <c r="J284" i="1"/>
  <c r="AL284" i="1" s="1"/>
  <c r="BJ283" i="1"/>
  <c r="BF283" i="1"/>
  <c r="BD283" i="1"/>
  <c r="AP283" i="1"/>
  <c r="AO283" i="1"/>
  <c r="H283" i="1" s="1"/>
  <c r="AK283" i="1"/>
  <c r="AJ283" i="1"/>
  <c r="AH283" i="1"/>
  <c r="AG283" i="1"/>
  <c r="AF283" i="1"/>
  <c r="AC283" i="1"/>
  <c r="AB283" i="1"/>
  <c r="Z283" i="1"/>
  <c r="J283" i="1"/>
  <c r="AL283" i="1" s="1"/>
  <c r="BJ282" i="1"/>
  <c r="BF282" i="1"/>
  <c r="BD282" i="1"/>
  <c r="AP282" i="1"/>
  <c r="AO282" i="1"/>
  <c r="BH282" i="1" s="1"/>
  <c r="AD282" i="1" s="1"/>
  <c r="AL282" i="1"/>
  <c r="AK282" i="1"/>
  <c r="AJ282" i="1"/>
  <c r="AH282" i="1"/>
  <c r="AG282" i="1"/>
  <c r="AF282" i="1"/>
  <c r="AC282" i="1"/>
  <c r="AB282" i="1"/>
  <c r="Z282" i="1"/>
  <c r="J282" i="1"/>
  <c r="H282" i="1"/>
  <c r="BJ281" i="1"/>
  <c r="BF281" i="1"/>
  <c r="BD281" i="1"/>
  <c r="AX281" i="1"/>
  <c r="AP281" i="1"/>
  <c r="BI281" i="1" s="1"/>
  <c r="AE281" i="1" s="1"/>
  <c r="AO281" i="1"/>
  <c r="BH281" i="1" s="1"/>
  <c r="AD281" i="1" s="1"/>
  <c r="AL281" i="1"/>
  <c r="AK281" i="1"/>
  <c r="AJ281" i="1"/>
  <c r="AH281" i="1"/>
  <c r="AG281" i="1"/>
  <c r="AF281" i="1"/>
  <c r="AC281" i="1"/>
  <c r="AB281" i="1"/>
  <c r="Z281" i="1"/>
  <c r="J281" i="1"/>
  <c r="I281" i="1"/>
  <c r="H281" i="1"/>
  <c r="BJ280" i="1"/>
  <c r="BF280" i="1"/>
  <c r="BD280" i="1"/>
  <c r="AP280" i="1"/>
  <c r="AX280" i="1" s="1"/>
  <c r="AO280" i="1"/>
  <c r="H280" i="1" s="1"/>
  <c r="AK280" i="1"/>
  <c r="AJ280" i="1"/>
  <c r="AH280" i="1"/>
  <c r="AG280" i="1"/>
  <c r="AF280" i="1"/>
  <c r="AC280" i="1"/>
  <c r="AB280" i="1"/>
  <c r="Z280" i="1"/>
  <c r="J280" i="1"/>
  <c r="AL280" i="1" s="1"/>
  <c r="BJ279" i="1"/>
  <c r="BF279" i="1"/>
  <c r="BD279" i="1"/>
  <c r="AP279" i="1"/>
  <c r="AO279" i="1"/>
  <c r="AK279" i="1"/>
  <c r="AJ279" i="1"/>
  <c r="AH279" i="1"/>
  <c r="AG279" i="1"/>
  <c r="AF279" i="1"/>
  <c r="AC279" i="1"/>
  <c r="AB279" i="1"/>
  <c r="Z279" i="1"/>
  <c r="J279" i="1"/>
  <c r="AL279" i="1" s="1"/>
  <c r="BJ278" i="1"/>
  <c r="BF278" i="1"/>
  <c r="BD278" i="1"/>
  <c r="AP278" i="1"/>
  <c r="AX278" i="1" s="1"/>
  <c r="AO278" i="1"/>
  <c r="BH278" i="1" s="1"/>
  <c r="AD278" i="1" s="1"/>
  <c r="AL278" i="1"/>
  <c r="AK278" i="1"/>
  <c r="AJ278" i="1"/>
  <c r="AH278" i="1"/>
  <c r="AG278" i="1"/>
  <c r="AF278" i="1"/>
  <c r="AC278" i="1"/>
  <c r="AB278" i="1"/>
  <c r="Z278" i="1"/>
  <c r="J278" i="1"/>
  <c r="I278" i="1"/>
  <c r="H278" i="1"/>
  <c r="BJ277" i="1"/>
  <c r="BF277" i="1"/>
  <c r="BD277" i="1"/>
  <c r="AP277" i="1"/>
  <c r="AO277" i="1"/>
  <c r="AL277" i="1"/>
  <c r="AK277" i="1"/>
  <c r="AJ277" i="1"/>
  <c r="AH277" i="1"/>
  <c r="AG277" i="1"/>
  <c r="AF277" i="1"/>
  <c r="AC277" i="1"/>
  <c r="AB277" i="1"/>
  <c r="Z277" i="1"/>
  <c r="J277" i="1"/>
  <c r="I277" i="1"/>
  <c r="BJ276" i="1"/>
  <c r="BH276" i="1"/>
  <c r="AD276" i="1" s="1"/>
  <c r="BF276" i="1"/>
  <c r="BD276" i="1"/>
  <c r="AW276" i="1"/>
  <c r="AP276" i="1"/>
  <c r="BI276" i="1" s="1"/>
  <c r="AE276" i="1" s="1"/>
  <c r="AO276" i="1"/>
  <c r="H276" i="1" s="1"/>
  <c r="AK276" i="1"/>
  <c r="AJ276" i="1"/>
  <c r="AH276" i="1"/>
  <c r="AG276" i="1"/>
  <c r="AF276" i="1"/>
  <c r="AC276" i="1"/>
  <c r="AB276" i="1"/>
  <c r="Z276" i="1"/>
  <c r="J276" i="1"/>
  <c r="AL276" i="1" s="1"/>
  <c r="I276" i="1"/>
  <c r="BJ275" i="1"/>
  <c r="BF275" i="1"/>
  <c r="BD275" i="1"/>
  <c r="AP275" i="1"/>
  <c r="AO275" i="1"/>
  <c r="AW275" i="1" s="1"/>
  <c r="AK275" i="1"/>
  <c r="AJ275" i="1"/>
  <c r="AH275" i="1"/>
  <c r="AG275" i="1"/>
  <c r="AF275" i="1"/>
  <c r="AC275" i="1"/>
  <c r="AB275" i="1"/>
  <c r="Z275" i="1"/>
  <c r="J275" i="1"/>
  <c r="AL275" i="1" s="1"/>
  <c r="H275" i="1"/>
  <c r="BJ274" i="1"/>
  <c r="BI274" i="1"/>
  <c r="AE274" i="1" s="1"/>
  <c r="BF274" i="1"/>
  <c r="BD274" i="1"/>
  <c r="AP274" i="1"/>
  <c r="AX274" i="1" s="1"/>
  <c r="AO274" i="1"/>
  <c r="BH274" i="1" s="1"/>
  <c r="AD274" i="1" s="1"/>
  <c r="AL274" i="1"/>
  <c r="AK274" i="1"/>
  <c r="AJ274" i="1"/>
  <c r="AH274" i="1"/>
  <c r="AG274" i="1"/>
  <c r="AF274" i="1"/>
  <c r="AC274" i="1"/>
  <c r="AB274" i="1"/>
  <c r="Z274" i="1"/>
  <c r="J274" i="1"/>
  <c r="BJ272" i="1"/>
  <c r="BF272" i="1"/>
  <c r="BD272" i="1"/>
  <c r="AW272" i="1"/>
  <c r="AP272" i="1"/>
  <c r="AO272" i="1"/>
  <c r="BH272" i="1" s="1"/>
  <c r="AD272" i="1" s="1"/>
  <c r="AL272" i="1"/>
  <c r="AK272" i="1"/>
  <c r="AJ272" i="1"/>
  <c r="AH272" i="1"/>
  <c r="AG272" i="1"/>
  <c r="AF272" i="1"/>
  <c r="AC272" i="1"/>
  <c r="AB272" i="1"/>
  <c r="Z272" i="1"/>
  <c r="J272" i="1"/>
  <c r="BJ271" i="1"/>
  <c r="BF271" i="1"/>
  <c r="BD271" i="1"/>
  <c r="AX271" i="1"/>
  <c r="AP271" i="1"/>
  <c r="BI271" i="1" s="1"/>
  <c r="AE271" i="1" s="1"/>
  <c r="AO271" i="1"/>
  <c r="BH271" i="1" s="1"/>
  <c r="AD271" i="1" s="1"/>
  <c r="AK271" i="1"/>
  <c r="AJ271" i="1"/>
  <c r="AH271" i="1"/>
  <c r="AG271" i="1"/>
  <c r="AF271" i="1"/>
  <c r="AC271" i="1"/>
  <c r="AB271" i="1"/>
  <c r="Z271" i="1"/>
  <c r="J271" i="1"/>
  <c r="AL271" i="1" s="1"/>
  <c r="H271" i="1"/>
  <c r="BJ270" i="1"/>
  <c r="BF270" i="1"/>
  <c r="BD270" i="1"/>
  <c r="AW270" i="1"/>
  <c r="AP270" i="1"/>
  <c r="BI270" i="1" s="1"/>
  <c r="AE270" i="1" s="1"/>
  <c r="AO270" i="1"/>
  <c r="BH270" i="1" s="1"/>
  <c r="AD270" i="1" s="1"/>
  <c r="AK270" i="1"/>
  <c r="AJ270" i="1"/>
  <c r="AH270" i="1"/>
  <c r="AG270" i="1"/>
  <c r="AF270" i="1"/>
  <c r="AC270" i="1"/>
  <c r="AB270" i="1"/>
  <c r="Z270" i="1"/>
  <c r="J270" i="1"/>
  <c r="AL270" i="1" s="1"/>
  <c r="I270" i="1"/>
  <c r="H270" i="1"/>
  <c r="BJ269" i="1"/>
  <c r="BF269" i="1"/>
  <c r="BD269" i="1"/>
  <c r="AX269" i="1"/>
  <c r="AP269" i="1"/>
  <c r="BI269" i="1" s="1"/>
  <c r="AE269" i="1" s="1"/>
  <c r="AO269" i="1"/>
  <c r="BH269" i="1" s="1"/>
  <c r="AD269" i="1" s="1"/>
  <c r="AK269" i="1"/>
  <c r="AJ269" i="1"/>
  <c r="AH269" i="1"/>
  <c r="AG269" i="1"/>
  <c r="AF269" i="1"/>
  <c r="AC269" i="1"/>
  <c r="AB269" i="1"/>
  <c r="Z269" i="1"/>
  <c r="J269" i="1"/>
  <c r="AL269" i="1" s="1"/>
  <c r="I269" i="1"/>
  <c r="BJ268" i="1"/>
  <c r="BF268" i="1"/>
  <c r="BD268" i="1"/>
  <c r="AP268" i="1"/>
  <c r="AO268" i="1"/>
  <c r="BH268" i="1" s="1"/>
  <c r="AD268" i="1" s="1"/>
  <c r="AL268" i="1"/>
  <c r="AK268" i="1"/>
  <c r="AJ268" i="1"/>
  <c r="AH268" i="1"/>
  <c r="AG268" i="1"/>
  <c r="AF268" i="1"/>
  <c r="AC268" i="1"/>
  <c r="AB268" i="1"/>
  <c r="Z268" i="1"/>
  <c r="J268" i="1"/>
  <c r="BJ267" i="1"/>
  <c r="BF267" i="1"/>
  <c r="BD267" i="1"/>
  <c r="AP267" i="1"/>
  <c r="BI267" i="1" s="1"/>
  <c r="AE267" i="1" s="1"/>
  <c r="AO267" i="1"/>
  <c r="AK267" i="1"/>
  <c r="AJ267" i="1"/>
  <c r="AH267" i="1"/>
  <c r="AG267" i="1"/>
  <c r="AF267" i="1"/>
  <c r="AC267" i="1"/>
  <c r="AB267" i="1"/>
  <c r="Z267" i="1"/>
  <c r="J267" i="1"/>
  <c r="AL267" i="1" s="1"/>
  <c r="BJ266" i="1"/>
  <c r="BF266" i="1"/>
  <c r="BD266" i="1"/>
  <c r="AW266" i="1"/>
  <c r="AP266" i="1"/>
  <c r="BI266" i="1" s="1"/>
  <c r="AE266" i="1" s="1"/>
  <c r="AO266" i="1"/>
  <c r="BH266" i="1" s="1"/>
  <c r="AD266" i="1" s="1"/>
  <c r="AK266" i="1"/>
  <c r="AJ266" i="1"/>
  <c r="AH266" i="1"/>
  <c r="AG266" i="1"/>
  <c r="AF266" i="1"/>
  <c r="AC266" i="1"/>
  <c r="AB266" i="1"/>
  <c r="Z266" i="1"/>
  <c r="J266" i="1"/>
  <c r="AL266" i="1" s="1"/>
  <c r="H266" i="1"/>
  <c r="BJ265" i="1"/>
  <c r="BF265" i="1"/>
  <c r="BD265" i="1"/>
  <c r="AX265" i="1"/>
  <c r="AP265" i="1"/>
  <c r="BI265" i="1" s="1"/>
  <c r="AE265" i="1" s="1"/>
  <c r="AO265" i="1"/>
  <c r="BH265" i="1" s="1"/>
  <c r="AD265" i="1" s="1"/>
  <c r="AK265" i="1"/>
  <c r="AJ265" i="1"/>
  <c r="AH265" i="1"/>
  <c r="AG265" i="1"/>
  <c r="AF265" i="1"/>
  <c r="AC265" i="1"/>
  <c r="AB265" i="1"/>
  <c r="Z265" i="1"/>
  <c r="J265" i="1"/>
  <c r="AL265" i="1" s="1"/>
  <c r="I265" i="1"/>
  <c r="BJ264" i="1"/>
  <c r="BF264" i="1"/>
  <c r="BD264" i="1"/>
  <c r="AP264" i="1"/>
  <c r="AO264" i="1"/>
  <c r="BH264" i="1" s="1"/>
  <c r="AD264" i="1" s="1"/>
  <c r="AK264" i="1"/>
  <c r="AJ264" i="1"/>
  <c r="AH264" i="1"/>
  <c r="AG264" i="1"/>
  <c r="AF264" i="1"/>
  <c r="AC264" i="1"/>
  <c r="AB264" i="1"/>
  <c r="Z264" i="1"/>
  <c r="J264" i="1"/>
  <c r="AL264" i="1" s="1"/>
  <c r="BJ263" i="1"/>
  <c r="BF263" i="1"/>
  <c r="BD263" i="1"/>
  <c r="AP263" i="1"/>
  <c r="BI263" i="1" s="1"/>
  <c r="AE263" i="1" s="1"/>
  <c r="AO263" i="1"/>
  <c r="BH263" i="1" s="1"/>
  <c r="AD263" i="1" s="1"/>
  <c r="AK263" i="1"/>
  <c r="AJ263" i="1"/>
  <c r="AH263" i="1"/>
  <c r="AG263" i="1"/>
  <c r="AF263" i="1"/>
  <c r="AC263" i="1"/>
  <c r="AB263" i="1"/>
  <c r="Z263" i="1"/>
  <c r="J263" i="1"/>
  <c r="AL263" i="1" s="1"/>
  <c r="H263" i="1"/>
  <c r="BJ262" i="1"/>
  <c r="BF262" i="1"/>
  <c r="BD262" i="1"/>
  <c r="AP262" i="1"/>
  <c r="BI262" i="1" s="1"/>
  <c r="AE262" i="1" s="1"/>
  <c r="AO262" i="1"/>
  <c r="BH262" i="1" s="1"/>
  <c r="AD262" i="1" s="1"/>
  <c r="AL262" i="1"/>
  <c r="AK262" i="1"/>
  <c r="AJ262" i="1"/>
  <c r="AH262" i="1"/>
  <c r="AG262" i="1"/>
  <c r="AF262" i="1"/>
  <c r="AC262" i="1"/>
  <c r="AB262" i="1"/>
  <c r="Z262" i="1"/>
  <c r="J262" i="1"/>
  <c r="I262" i="1"/>
  <c r="H262" i="1"/>
  <c r="BJ261" i="1"/>
  <c r="BF261" i="1"/>
  <c r="BD261" i="1"/>
  <c r="AX261" i="1"/>
  <c r="AP261" i="1"/>
  <c r="BI261" i="1" s="1"/>
  <c r="AE261" i="1" s="1"/>
  <c r="AO261" i="1"/>
  <c r="BH261" i="1" s="1"/>
  <c r="AD261" i="1" s="1"/>
  <c r="AK261" i="1"/>
  <c r="AJ261" i="1"/>
  <c r="AH261" i="1"/>
  <c r="AG261" i="1"/>
  <c r="AF261" i="1"/>
  <c r="AC261" i="1"/>
  <c r="AB261" i="1"/>
  <c r="Z261" i="1"/>
  <c r="J261" i="1"/>
  <c r="AL261" i="1" s="1"/>
  <c r="I261" i="1"/>
  <c r="BJ260" i="1"/>
  <c r="BF260" i="1"/>
  <c r="BD260" i="1"/>
  <c r="AP260" i="1"/>
  <c r="AO260" i="1"/>
  <c r="BH260" i="1" s="1"/>
  <c r="AD260" i="1" s="1"/>
  <c r="AK260" i="1"/>
  <c r="AJ260" i="1"/>
  <c r="AH260" i="1"/>
  <c r="AG260" i="1"/>
  <c r="AF260" i="1"/>
  <c r="AC260" i="1"/>
  <c r="AB260" i="1"/>
  <c r="Z260" i="1"/>
  <c r="J260" i="1"/>
  <c r="AL260" i="1" s="1"/>
  <c r="BJ259" i="1"/>
  <c r="BF259" i="1"/>
  <c r="BD259" i="1"/>
  <c r="AP259" i="1"/>
  <c r="BI259" i="1" s="1"/>
  <c r="AE259" i="1" s="1"/>
  <c r="AO259" i="1"/>
  <c r="BH259" i="1" s="1"/>
  <c r="AD259" i="1" s="1"/>
  <c r="AK259" i="1"/>
  <c r="AJ259" i="1"/>
  <c r="AH259" i="1"/>
  <c r="AG259" i="1"/>
  <c r="AF259" i="1"/>
  <c r="AC259" i="1"/>
  <c r="AB259" i="1"/>
  <c r="Z259" i="1"/>
  <c r="J259" i="1"/>
  <c r="AL259" i="1" s="1"/>
  <c r="BJ258" i="1"/>
  <c r="BF258" i="1"/>
  <c r="BD258" i="1"/>
  <c r="AP258" i="1"/>
  <c r="BI258" i="1" s="1"/>
  <c r="AE258" i="1" s="1"/>
  <c r="AO258" i="1"/>
  <c r="BH258" i="1" s="1"/>
  <c r="AD258" i="1" s="1"/>
  <c r="AL258" i="1"/>
  <c r="AK258" i="1"/>
  <c r="AJ258" i="1"/>
  <c r="AH258" i="1"/>
  <c r="AG258" i="1"/>
  <c r="AF258" i="1"/>
  <c r="AC258" i="1"/>
  <c r="AB258" i="1"/>
  <c r="Z258" i="1"/>
  <c r="J258" i="1"/>
  <c r="I258" i="1"/>
  <c r="H258" i="1"/>
  <c r="BJ257" i="1"/>
  <c r="BF257" i="1"/>
  <c r="BD257" i="1"/>
  <c r="AX257" i="1"/>
  <c r="AP257" i="1"/>
  <c r="BI257" i="1" s="1"/>
  <c r="AE257" i="1" s="1"/>
  <c r="AO257" i="1"/>
  <c r="AK257" i="1"/>
  <c r="AJ257" i="1"/>
  <c r="AH257" i="1"/>
  <c r="AG257" i="1"/>
  <c r="AF257" i="1"/>
  <c r="AC257" i="1"/>
  <c r="AB257" i="1"/>
  <c r="Z257" i="1"/>
  <c r="J257" i="1"/>
  <c r="AL257" i="1" s="1"/>
  <c r="I257" i="1"/>
  <c r="BJ256" i="1"/>
  <c r="BF256" i="1"/>
  <c r="BD256" i="1"/>
  <c r="AP256" i="1"/>
  <c r="AO256" i="1"/>
  <c r="BH256" i="1" s="1"/>
  <c r="AD256" i="1" s="1"/>
  <c r="AK256" i="1"/>
  <c r="AJ256" i="1"/>
  <c r="AH256" i="1"/>
  <c r="AG256" i="1"/>
  <c r="AF256" i="1"/>
  <c r="AC256" i="1"/>
  <c r="AB256" i="1"/>
  <c r="Z256" i="1"/>
  <c r="J256" i="1"/>
  <c r="AL256" i="1" s="1"/>
  <c r="BJ255" i="1"/>
  <c r="BF255" i="1"/>
  <c r="BD255" i="1"/>
  <c r="AP255" i="1"/>
  <c r="BI255" i="1" s="1"/>
  <c r="AE255" i="1" s="1"/>
  <c r="AO255" i="1"/>
  <c r="BH255" i="1" s="1"/>
  <c r="AD255" i="1" s="1"/>
  <c r="AK255" i="1"/>
  <c r="AJ255" i="1"/>
  <c r="AH255" i="1"/>
  <c r="AG255" i="1"/>
  <c r="AF255" i="1"/>
  <c r="AC255" i="1"/>
  <c r="AB255" i="1"/>
  <c r="Z255" i="1"/>
  <c r="J255" i="1"/>
  <c r="AL255" i="1" s="1"/>
  <c r="H255" i="1"/>
  <c r="BJ254" i="1"/>
  <c r="BF254" i="1"/>
  <c r="BD254" i="1"/>
  <c r="AW254" i="1"/>
  <c r="AP254" i="1"/>
  <c r="BI254" i="1" s="1"/>
  <c r="AE254" i="1" s="1"/>
  <c r="AO254" i="1"/>
  <c r="BH254" i="1" s="1"/>
  <c r="AD254" i="1" s="1"/>
  <c r="AL254" i="1"/>
  <c r="AK254" i="1"/>
  <c r="AJ254" i="1"/>
  <c r="AH254" i="1"/>
  <c r="AG254" i="1"/>
  <c r="AF254" i="1"/>
  <c r="AC254" i="1"/>
  <c r="AB254" i="1"/>
  <c r="Z254" i="1"/>
  <c r="J254" i="1"/>
  <c r="I254" i="1"/>
  <c r="H254" i="1"/>
  <c r="BJ253" i="1"/>
  <c r="BF253" i="1"/>
  <c r="BD253" i="1"/>
  <c r="AP253" i="1"/>
  <c r="BI253" i="1" s="1"/>
  <c r="AE253" i="1" s="1"/>
  <c r="AO253" i="1"/>
  <c r="AK253" i="1"/>
  <c r="AJ253" i="1"/>
  <c r="AH253" i="1"/>
  <c r="AG253" i="1"/>
  <c r="AF253" i="1"/>
  <c r="AC253" i="1"/>
  <c r="AB253" i="1"/>
  <c r="Z253" i="1"/>
  <c r="J253" i="1"/>
  <c r="AL253" i="1" s="1"/>
  <c r="I253" i="1"/>
  <c r="BJ252" i="1"/>
  <c r="BF252" i="1"/>
  <c r="BD252" i="1"/>
  <c r="AP252" i="1"/>
  <c r="AO252" i="1"/>
  <c r="BH252" i="1" s="1"/>
  <c r="AD252" i="1" s="1"/>
  <c r="AK252" i="1"/>
  <c r="AJ252" i="1"/>
  <c r="AH252" i="1"/>
  <c r="AG252" i="1"/>
  <c r="AF252" i="1"/>
  <c r="AC252" i="1"/>
  <c r="AB252" i="1"/>
  <c r="Z252" i="1"/>
  <c r="J252" i="1"/>
  <c r="AL252" i="1" s="1"/>
  <c r="BJ251" i="1"/>
  <c r="BF251" i="1"/>
  <c r="BD251" i="1"/>
  <c r="AP251" i="1"/>
  <c r="BI251" i="1" s="1"/>
  <c r="AE251" i="1" s="1"/>
  <c r="AO251" i="1"/>
  <c r="BH251" i="1" s="1"/>
  <c r="AD251" i="1" s="1"/>
  <c r="AK251" i="1"/>
  <c r="AJ251" i="1"/>
  <c r="AH251" i="1"/>
  <c r="AG251" i="1"/>
  <c r="AF251" i="1"/>
  <c r="AC251" i="1"/>
  <c r="AB251" i="1"/>
  <c r="Z251" i="1"/>
  <c r="J251" i="1"/>
  <c r="AL251" i="1" s="1"/>
  <c r="H251" i="1"/>
  <c r="BJ250" i="1"/>
  <c r="BF250" i="1"/>
  <c r="BD250" i="1"/>
  <c r="AW250" i="1"/>
  <c r="AP250" i="1"/>
  <c r="BI250" i="1" s="1"/>
  <c r="AE250" i="1" s="1"/>
  <c r="AO250" i="1"/>
  <c r="BH250" i="1" s="1"/>
  <c r="AD250" i="1" s="1"/>
  <c r="AK250" i="1"/>
  <c r="AJ250" i="1"/>
  <c r="AH250" i="1"/>
  <c r="AG250" i="1"/>
  <c r="AF250" i="1"/>
  <c r="AC250" i="1"/>
  <c r="AB250" i="1"/>
  <c r="Z250" i="1"/>
  <c r="J250" i="1"/>
  <c r="AL250" i="1" s="1"/>
  <c r="I250" i="1"/>
  <c r="H250" i="1"/>
  <c r="BJ249" i="1"/>
  <c r="BF249" i="1"/>
  <c r="BD249" i="1"/>
  <c r="AP249" i="1"/>
  <c r="BI249" i="1" s="1"/>
  <c r="AE249" i="1" s="1"/>
  <c r="AO249" i="1"/>
  <c r="BH249" i="1" s="1"/>
  <c r="AD249" i="1" s="1"/>
  <c r="AK249" i="1"/>
  <c r="AJ249" i="1"/>
  <c r="AH249" i="1"/>
  <c r="AG249" i="1"/>
  <c r="AF249" i="1"/>
  <c r="AC249" i="1"/>
  <c r="AB249" i="1"/>
  <c r="Z249" i="1"/>
  <c r="J249" i="1"/>
  <c r="AL249" i="1" s="1"/>
  <c r="BJ248" i="1"/>
  <c r="BF248" i="1"/>
  <c r="BD248" i="1"/>
  <c r="AP248" i="1"/>
  <c r="AO248" i="1"/>
  <c r="BH248" i="1" s="1"/>
  <c r="AD248" i="1" s="1"/>
  <c r="AK248" i="1"/>
  <c r="AJ248" i="1"/>
  <c r="AH248" i="1"/>
  <c r="AG248" i="1"/>
  <c r="AF248" i="1"/>
  <c r="AC248" i="1"/>
  <c r="AB248" i="1"/>
  <c r="Z248" i="1"/>
  <c r="J248" i="1"/>
  <c r="AL248" i="1" s="1"/>
  <c r="BJ247" i="1"/>
  <c r="BF247" i="1"/>
  <c r="BD247" i="1"/>
  <c r="AP247" i="1"/>
  <c r="BI247" i="1" s="1"/>
  <c r="AE247" i="1" s="1"/>
  <c r="AO247" i="1"/>
  <c r="BH247" i="1" s="1"/>
  <c r="AD247" i="1" s="1"/>
  <c r="AK247" i="1"/>
  <c r="AJ247" i="1"/>
  <c r="AH247" i="1"/>
  <c r="AG247" i="1"/>
  <c r="AF247" i="1"/>
  <c r="AC247" i="1"/>
  <c r="AB247" i="1"/>
  <c r="Z247" i="1"/>
  <c r="J247" i="1"/>
  <c r="AL247" i="1" s="1"/>
  <c r="H247" i="1"/>
  <c r="BJ246" i="1"/>
  <c r="BF246" i="1"/>
  <c r="BD246" i="1"/>
  <c r="AP246" i="1"/>
  <c r="BI246" i="1" s="1"/>
  <c r="AE246" i="1" s="1"/>
  <c r="AO246" i="1"/>
  <c r="BH246" i="1" s="1"/>
  <c r="AD246" i="1" s="1"/>
  <c r="AK246" i="1"/>
  <c r="AJ246" i="1"/>
  <c r="AH246" i="1"/>
  <c r="AG246" i="1"/>
  <c r="AF246" i="1"/>
  <c r="AC246" i="1"/>
  <c r="AB246" i="1"/>
  <c r="Z246" i="1"/>
  <c r="J246" i="1"/>
  <c r="AL246" i="1" s="1"/>
  <c r="I246" i="1"/>
  <c r="H246" i="1"/>
  <c r="BJ245" i="1"/>
  <c r="BF245" i="1"/>
  <c r="BD245" i="1"/>
  <c r="AP245" i="1"/>
  <c r="AO245" i="1"/>
  <c r="BH245" i="1" s="1"/>
  <c r="AD245" i="1" s="1"/>
  <c r="AK245" i="1"/>
  <c r="AJ245" i="1"/>
  <c r="AH245" i="1"/>
  <c r="AG245" i="1"/>
  <c r="AF245" i="1"/>
  <c r="AC245" i="1"/>
  <c r="AB245" i="1"/>
  <c r="Z245" i="1"/>
  <c r="J245" i="1"/>
  <c r="AL245" i="1" s="1"/>
  <c r="BJ244" i="1"/>
  <c r="BF244" i="1"/>
  <c r="BD244" i="1"/>
  <c r="AP244" i="1"/>
  <c r="AO244" i="1"/>
  <c r="BH244" i="1" s="1"/>
  <c r="AD244" i="1" s="1"/>
  <c r="AK244" i="1"/>
  <c r="AJ244" i="1"/>
  <c r="AH244" i="1"/>
  <c r="AG244" i="1"/>
  <c r="AF244" i="1"/>
  <c r="AC244" i="1"/>
  <c r="AB244" i="1"/>
  <c r="Z244" i="1"/>
  <c r="J244" i="1"/>
  <c r="AL244" i="1" s="1"/>
  <c r="BJ243" i="1"/>
  <c r="BF243" i="1"/>
  <c r="BD243" i="1"/>
  <c r="AP243" i="1"/>
  <c r="BI243" i="1" s="1"/>
  <c r="AE243" i="1" s="1"/>
  <c r="AO243" i="1"/>
  <c r="BH243" i="1" s="1"/>
  <c r="AD243" i="1" s="1"/>
  <c r="AK243" i="1"/>
  <c r="AJ243" i="1"/>
  <c r="AH243" i="1"/>
  <c r="AG243" i="1"/>
  <c r="AF243" i="1"/>
  <c r="AC243" i="1"/>
  <c r="AB243" i="1"/>
  <c r="Z243" i="1"/>
  <c r="J243" i="1"/>
  <c r="AL243" i="1" s="1"/>
  <c r="H243" i="1"/>
  <c r="BJ242" i="1"/>
  <c r="BF242" i="1"/>
  <c r="BD242" i="1"/>
  <c r="AP242" i="1"/>
  <c r="BI242" i="1" s="1"/>
  <c r="AE242" i="1" s="1"/>
  <c r="AO242" i="1"/>
  <c r="AK242" i="1"/>
  <c r="AJ242" i="1"/>
  <c r="AH242" i="1"/>
  <c r="AG242" i="1"/>
  <c r="AF242" i="1"/>
  <c r="AC242" i="1"/>
  <c r="AB242" i="1"/>
  <c r="Z242" i="1"/>
  <c r="J242" i="1"/>
  <c r="AL242" i="1" s="1"/>
  <c r="I242" i="1"/>
  <c r="H242" i="1"/>
  <c r="BJ241" i="1"/>
  <c r="BF241" i="1"/>
  <c r="BD241" i="1"/>
  <c r="AX241" i="1"/>
  <c r="AP241" i="1"/>
  <c r="BI241" i="1" s="1"/>
  <c r="AE241" i="1" s="1"/>
  <c r="AO241" i="1"/>
  <c r="AK241" i="1"/>
  <c r="AJ241" i="1"/>
  <c r="AH241" i="1"/>
  <c r="AG241" i="1"/>
  <c r="AF241" i="1"/>
  <c r="AC241" i="1"/>
  <c r="AB241" i="1"/>
  <c r="Z241" i="1"/>
  <c r="J241" i="1"/>
  <c r="AL241" i="1" s="1"/>
  <c r="I241" i="1"/>
  <c r="BJ240" i="1"/>
  <c r="BF240" i="1"/>
  <c r="BD240" i="1"/>
  <c r="AP240" i="1"/>
  <c r="AO240" i="1"/>
  <c r="BH240" i="1" s="1"/>
  <c r="AD240" i="1" s="1"/>
  <c r="AK240" i="1"/>
  <c r="AJ240" i="1"/>
  <c r="AH240" i="1"/>
  <c r="AG240" i="1"/>
  <c r="AF240" i="1"/>
  <c r="AC240" i="1"/>
  <c r="AB240" i="1"/>
  <c r="Z240" i="1"/>
  <c r="J240" i="1"/>
  <c r="AL240" i="1" s="1"/>
  <c r="BJ239" i="1"/>
  <c r="BF239" i="1"/>
  <c r="BD239" i="1"/>
  <c r="AP239" i="1"/>
  <c r="BI239" i="1" s="1"/>
  <c r="AE239" i="1" s="1"/>
  <c r="AO239" i="1"/>
  <c r="BH239" i="1" s="1"/>
  <c r="AD239" i="1" s="1"/>
  <c r="AK239" i="1"/>
  <c r="AJ239" i="1"/>
  <c r="AH239" i="1"/>
  <c r="AG239" i="1"/>
  <c r="AF239" i="1"/>
  <c r="AC239" i="1"/>
  <c r="AB239" i="1"/>
  <c r="Z239" i="1"/>
  <c r="J239" i="1"/>
  <c r="AL239" i="1" s="1"/>
  <c r="H239" i="1"/>
  <c r="BJ238" i="1"/>
  <c r="BF238" i="1"/>
  <c r="BD238" i="1"/>
  <c r="AP238" i="1"/>
  <c r="BI238" i="1" s="1"/>
  <c r="AE238" i="1" s="1"/>
  <c r="AO238" i="1"/>
  <c r="AL238" i="1"/>
  <c r="AK238" i="1"/>
  <c r="AJ238" i="1"/>
  <c r="AH238" i="1"/>
  <c r="AG238" i="1"/>
  <c r="AF238" i="1"/>
  <c r="AC238" i="1"/>
  <c r="AB238" i="1"/>
  <c r="Z238" i="1"/>
  <c r="J238" i="1"/>
  <c r="I238" i="1"/>
  <c r="BJ237" i="1"/>
  <c r="BF237" i="1"/>
  <c r="BD237" i="1"/>
  <c r="AP237" i="1"/>
  <c r="BI237" i="1" s="1"/>
  <c r="AE237" i="1" s="1"/>
  <c r="AO237" i="1"/>
  <c r="AK237" i="1"/>
  <c r="AJ237" i="1"/>
  <c r="AH237" i="1"/>
  <c r="AG237" i="1"/>
  <c r="AF237" i="1"/>
  <c r="AC237" i="1"/>
  <c r="AB237" i="1"/>
  <c r="Z237" i="1"/>
  <c r="J237" i="1"/>
  <c r="AL237" i="1" s="1"/>
  <c r="BJ236" i="1"/>
  <c r="BF236" i="1"/>
  <c r="BD236" i="1"/>
  <c r="AP236" i="1"/>
  <c r="AO236" i="1"/>
  <c r="BH236" i="1" s="1"/>
  <c r="AD236" i="1" s="1"/>
  <c r="AK236" i="1"/>
  <c r="AJ236" i="1"/>
  <c r="AH236" i="1"/>
  <c r="AG236" i="1"/>
  <c r="AF236" i="1"/>
  <c r="AC236" i="1"/>
  <c r="AB236" i="1"/>
  <c r="Z236" i="1"/>
  <c r="J236" i="1"/>
  <c r="AL236" i="1" s="1"/>
  <c r="BJ235" i="1"/>
  <c r="BF235" i="1"/>
  <c r="BD235" i="1"/>
  <c r="AP235" i="1"/>
  <c r="BI235" i="1" s="1"/>
  <c r="AE235" i="1" s="1"/>
  <c r="AO235" i="1"/>
  <c r="BH235" i="1" s="1"/>
  <c r="AD235" i="1" s="1"/>
  <c r="AK235" i="1"/>
  <c r="AJ235" i="1"/>
  <c r="AH235" i="1"/>
  <c r="AG235" i="1"/>
  <c r="AF235" i="1"/>
  <c r="AC235" i="1"/>
  <c r="AB235" i="1"/>
  <c r="Z235" i="1"/>
  <c r="J235" i="1"/>
  <c r="AL235" i="1" s="1"/>
  <c r="BJ234" i="1"/>
  <c r="BF234" i="1"/>
  <c r="BD234" i="1"/>
  <c r="AW234" i="1"/>
  <c r="AP234" i="1"/>
  <c r="BI234" i="1" s="1"/>
  <c r="AE234" i="1" s="1"/>
  <c r="AO234" i="1"/>
  <c r="BH234" i="1" s="1"/>
  <c r="AD234" i="1" s="1"/>
  <c r="AK234" i="1"/>
  <c r="AJ234" i="1"/>
  <c r="AH234" i="1"/>
  <c r="AG234" i="1"/>
  <c r="AF234" i="1"/>
  <c r="AC234" i="1"/>
  <c r="AB234" i="1"/>
  <c r="Z234" i="1"/>
  <c r="J234" i="1"/>
  <c r="AL234" i="1" s="1"/>
  <c r="I234" i="1"/>
  <c r="H234" i="1"/>
  <c r="BJ233" i="1"/>
  <c r="BH233" i="1"/>
  <c r="AD233" i="1" s="1"/>
  <c r="BF233" i="1"/>
  <c r="BD233" i="1"/>
  <c r="AP233" i="1"/>
  <c r="AO233" i="1"/>
  <c r="AK233" i="1"/>
  <c r="AJ233" i="1"/>
  <c r="AH233" i="1"/>
  <c r="AG233" i="1"/>
  <c r="AF233" i="1"/>
  <c r="AC233" i="1"/>
  <c r="AB233" i="1"/>
  <c r="Z233" i="1"/>
  <c r="J233" i="1"/>
  <c r="AL233" i="1" s="1"/>
  <c r="BJ232" i="1"/>
  <c r="BF232" i="1"/>
  <c r="BD232" i="1"/>
  <c r="AP232" i="1"/>
  <c r="AO232" i="1"/>
  <c r="BH232" i="1" s="1"/>
  <c r="AD232" i="1" s="1"/>
  <c r="AK232" i="1"/>
  <c r="AJ232" i="1"/>
  <c r="AH232" i="1"/>
  <c r="AG232" i="1"/>
  <c r="AF232" i="1"/>
  <c r="AC232" i="1"/>
  <c r="AB232" i="1"/>
  <c r="Z232" i="1"/>
  <c r="J232" i="1"/>
  <c r="AL232" i="1" s="1"/>
  <c r="BJ231" i="1"/>
  <c r="BF231" i="1"/>
  <c r="BD231" i="1"/>
  <c r="AP231" i="1"/>
  <c r="BI231" i="1" s="1"/>
  <c r="AE231" i="1" s="1"/>
  <c r="AO231" i="1"/>
  <c r="BH231" i="1" s="1"/>
  <c r="AD231" i="1" s="1"/>
  <c r="AK231" i="1"/>
  <c r="AJ231" i="1"/>
  <c r="AH231" i="1"/>
  <c r="AG231" i="1"/>
  <c r="AF231" i="1"/>
  <c r="AC231" i="1"/>
  <c r="AB231" i="1"/>
  <c r="Z231" i="1"/>
  <c r="J231" i="1"/>
  <c r="AL231" i="1" s="1"/>
  <c r="H231" i="1"/>
  <c r="BJ230" i="1"/>
  <c r="BF230" i="1"/>
  <c r="BD230" i="1"/>
  <c r="AW230" i="1"/>
  <c r="AP230" i="1"/>
  <c r="BI230" i="1" s="1"/>
  <c r="AE230" i="1" s="1"/>
  <c r="AO230" i="1"/>
  <c r="BH230" i="1" s="1"/>
  <c r="AD230" i="1" s="1"/>
  <c r="AK230" i="1"/>
  <c r="AJ230" i="1"/>
  <c r="AH230" i="1"/>
  <c r="AG230" i="1"/>
  <c r="AF230" i="1"/>
  <c r="AC230" i="1"/>
  <c r="AB230" i="1"/>
  <c r="Z230" i="1"/>
  <c r="J230" i="1"/>
  <c r="AL230" i="1" s="1"/>
  <c r="I230" i="1"/>
  <c r="H230" i="1"/>
  <c r="BJ229" i="1"/>
  <c r="BF229" i="1"/>
  <c r="BD229" i="1"/>
  <c r="AP229" i="1"/>
  <c r="BI229" i="1" s="1"/>
  <c r="AE229" i="1" s="1"/>
  <c r="AO229" i="1"/>
  <c r="BH229" i="1" s="1"/>
  <c r="AD229" i="1" s="1"/>
  <c r="AK229" i="1"/>
  <c r="AJ229" i="1"/>
  <c r="AH229" i="1"/>
  <c r="AG229" i="1"/>
  <c r="AF229" i="1"/>
  <c r="AC229" i="1"/>
  <c r="AB229" i="1"/>
  <c r="Z229" i="1"/>
  <c r="J229" i="1"/>
  <c r="AL229" i="1" s="1"/>
  <c r="BJ228" i="1"/>
  <c r="BF228" i="1"/>
  <c r="BD228" i="1"/>
  <c r="AP228" i="1"/>
  <c r="AO228" i="1"/>
  <c r="BH228" i="1" s="1"/>
  <c r="AD228" i="1" s="1"/>
  <c r="AK228" i="1"/>
  <c r="AJ228" i="1"/>
  <c r="AH228" i="1"/>
  <c r="AG228" i="1"/>
  <c r="AF228" i="1"/>
  <c r="AC228" i="1"/>
  <c r="AB228" i="1"/>
  <c r="Z228" i="1"/>
  <c r="J228" i="1"/>
  <c r="AL228" i="1" s="1"/>
  <c r="BJ227" i="1"/>
  <c r="BF227" i="1"/>
  <c r="BD227" i="1"/>
  <c r="AP227" i="1"/>
  <c r="BI227" i="1" s="1"/>
  <c r="AE227" i="1" s="1"/>
  <c r="AO227" i="1"/>
  <c r="BH227" i="1" s="1"/>
  <c r="AD227" i="1" s="1"/>
  <c r="AK227" i="1"/>
  <c r="AJ227" i="1"/>
  <c r="AH227" i="1"/>
  <c r="AG227" i="1"/>
  <c r="AF227" i="1"/>
  <c r="AC227" i="1"/>
  <c r="AB227" i="1"/>
  <c r="Z227" i="1"/>
  <c r="J227" i="1"/>
  <c r="AL227" i="1" s="1"/>
  <c r="BJ226" i="1"/>
  <c r="BF226" i="1"/>
  <c r="BD226" i="1"/>
  <c r="AP226" i="1"/>
  <c r="BI226" i="1" s="1"/>
  <c r="AE226" i="1" s="1"/>
  <c r="AO226" i="1"/>
  <c r="BH226" i="1" s="1"/>
  <c r="AD226" i="1" s="1"/>
  <c r="AL226" i="1"/>
  <c r="AK226" i="1"/>
  <c r="AJ226" i="1"/>
  <c r="AH226" i="1"/>
  <c r="AG226" i="1"/>
  <c r="AF226" i="1"/>
  <c r="AC226" i="1"/>
  <c r="AB226" i="1"/>
  <c r="Z226" i="1"/>
  <c r="J226" i="1"/>
  <c r="I226" i="1"/>
  <c r="H226" i="1"/>
  <c r="BJ225" i="1"/>
  <c r="BF225" i="1"/>
  <c r="BD225" i="1"/>
  <c r="AP225" i="1"/>
  <c r="BI225" i="1" s="1"/>
  <c r="AE225" i="1" s="1"/>
  <c r="AO225" i="1"/>
  <c r="AK225" i="1"/>
  <c r="AJ225" i="1"/>
  <c r="AH225" i="1"/>
  <c r="AG225" i="1"/>
  <c r="AF225" i="1"/>
  <c r="AC225" i="1"/>
  <c r="AB225" i="1"/>
  <c r="Z225" i="1"/>
  <c r="J225" i="1"/>
  <c r="AL225" i="1" s="1"/>
  <c r="BJ224" i="1"/>
  <c r="BF224" i="1"/>
  <c r="BD224" i="1"/>
  <c r="AP224" i="1"/>
  <c r="AO224" i="1"/>
  <c r="BH224" i="1" s="1"/>
  <c r="AD224" i="1" s="1"/>
  <c r="AK224" i="1"/>
  <c r="AJ224" i="1"/>
  <c r="AH224" i="1"/>
  <c r="AG224" i="1"/>
  <c r="AF224" i="1"/>
  <c r="AC224" i="1"/>
  <c r="AB224" i="1"/>
  <c r="Z224" i="1"/>
  <c r="J224" i="1"/>
  <c r="AL224" i="1" s="1"/>
  <c r="BJ223" i="1"/>
  <c r="BF223" i="1"/>
  <c r="BD223" i="1"/>
  <c r="AP223" i="1"/>
  <c r="BI223" i="1" s="1"/>
  <c r="AE223" i="1" s="1"/>
  <c r="AO223" i="1"/>
  <c r="AK223" i="1"/>
  <c r="AJ223" i="1"/>
  <c r="AH223" i="1"/>
  <c r="AG223" i="1"/>
  <c r="AF223" i="1"/>
  <c r="AC223" i="1"/>
  <c r="AB223" i="1"/>
  <c r="Z223" i="1"/>
  <c r="J223" i="1"/>
  <c r="AL223" i="1" s="1"/>
  <c r="BJ222" i="1"/>
  <c r="BF222" i="1"/>
  <c r="BD222" i="1"/>
  <c r="AW222" i="1"/>
  <c r="AP222" i="1"/>
  <c r="BI222" i="1" s="1"/>
  <c r="AE222" i="1" s="1"/>
  <c r="AO222" i="1"/>
  <c r="BH222" i="1" s="1"/>
  <c r="AD222" i="1" s="1"/>
  <c r="AK222" i="1"/>
  <c r="AJ222" i="1"/>
  <c r="AH222" i="1"/>
  <c r="AG222" i="1"/>
  <c r="AF222" i="1"/>
  <c r="AC222" i="1"/>
  <c r="AB222" i="1"/>
  <c r="Z222" i="1"/>
  <c r="J222" i="1"/>
  <c r="AL222" i="1" s="1"/>
  <c r="H222" i="1"/>
  <c r="BJ221" i="1"/>
  <c r="BF221" i="1"/>
  <c r="BD221" i="1"/>
  <c r="AX221" i="1"/>
  <c r="AP221" i="1"/>
  <c r="BI221" i="1" s="1"/>
  <c r="AE221" i="1" s="1"/>
  <c r="AO221" i="1"/>
  <c r="AK221" i="1"/>
  <c r="AJ221" i="1"/>
  <c r="AH221" i="1"/>
  <c r="AG221" i="1"/>
  <c r="AF221" i="1"/>
  <c r="AC221" i="1"/>
  <c r="AB221" i="1"/>
  <c r="Z221" i="1"/>
  <c r="J221" i="1"/>
  <c r="AL221" i="1" s="1"/>
  <c r="I221" i="1"/>
  <c r="BJ220" i="1"/>
  <c r="BF220" i="1"/>
  <c r="BD220" i="1"/>
  <c r="AP220" i="1"/>
  <c r="AO220" i="1"/>
  <c r="BH220" i="1" s="1"/>
  <c r="AD220" i="1" s="1"/>
  <c r="AK220" i="1"/>
  <c r="AJ220" i="1"/>
  <c r="AH220" i="1"/>
  <c r="AG220" i="1"/>
  <c r="AF220" i="1"/>
  <c r="AC220" i="1"/>
  <c r="AB220" i="1"/>
  <c r="Z220" i="1"/>
  <c r="J220" i="1"/>
  <c r="AL220" i="1" s="1"/>
  <c r="BJ219" i="1"/>
  <c r="BF219" i="1"/>
  <c r="BD219" i="1"/>
  <c r="AP219" i="1"/>
  <c r="BI219" i="1" s="1"/>
  <c r="AE219" i="1" s="1"/>
  <c r="AO219" i="1"/>
  <c r="AK219" i="1"/>
  <c r="AJ219" i="1"/>
  <c r="AH219" i="1"/>
  <c r="AG219" i="1"/>
  <c r="AF219" i="1"/>
  <c r="AC219" i="1"/>
  <c r="AB219" i="1"/>
  <c r="Z219" i="1"/>
  <c r="J219" i="1"/>
  <c r="AL219" i="1" s="1"/>
  <c r="BJ218" i="1"/>
  <c r="BF218" i="1"/>
  <c r="BD218" i="1"/>
  <c r="AW218" i="1"/>
  <c r="AP218" i="1"/>
  <c r="BI218" i="1" s="1"/>
  <c r="AE218" i="1" s="1"/>
  <c r="AO218" i="1"/>
  <c r="BH218" i="1" s="1"/>
  <c r="AD218" i="1" s="1"/>
  <c r="AL218" i="1"/>
  <c r="AK218" i="1"/>
  <c r="AJ218" i="1"/>
  <c r="AH218" i="1"/>
  <c r="AG218" i="1"/>
  <c r="AF218" i="1"/>
  <c r="AC218" i="1"/>
  <c r="AB218" i="1"/>
  <c r="Z218" i="1"/>
  <c r="J218" i="1"/>
  <c r="I218" i="1"/>
  <c r="H218" i="1"/>
  <c r="BJ217" i="1"/>
  <c r="BF217" i="1"/>
  <c r="BD217" i="1"/>
  <c r="AX217" i="1"/>
  <c r="AP217" i="1"/>
  <c r="BI217" i="1" s="1"/>
  <c r="AE217" i="1" s="1"/>
  <c r="AO217" i="1"/>
  <c r="BH217" i="1" s="1"/>
  <c r="AD217" i="1" s="1"/>
  <c r="AK217" i="1"/>
  <c r="AJ217" i="1"/>
  <c r="AH217" i="1"/>
  <c r="AG217" i="1"/>
  <c r="AF217" i="1"/>
  <c r="AC217" i="1"/>
  <c r="AB217" i="1"/>
  <c r="Z217" i="1"/>
  <c r="J217" i="1"/>
  <c r="AL217" i="1" s="1"/>
  <c r="I217" i="1"/>
  <c r="BJ216" i="1"/>
  <c r="BF216" i="1"/>
  <c r="BD216" i="1"/>
  <c r="AP216" i="1"/>
  <c r="AO216" i="1"/>
  <c r="BH216" i="1" s="1"/>
  <c r="AD216" i="1" s="1"/>
  <c r="AK216" i="1"/>
  <c r="AJ216" i="1"/>
  <c r="AH216" i="1"/>
  <c r="AG216" i="1"/>
  <c r="AF216" i="1"/>
  <c r="AC216" i="1"/>
  <c r="AB216" i="1"/>
  <c r="Z216" i="1"/>
  <c r="J216" i="1"/>
  <c r="AL216" i="1" s="1"/>
  <c r="BJ215" i="1"/>
  <c r="BF215" i="1"/>
  <c r="BD215" i="1"/>
  <c r="AP215" i="1"/>
  <c r="BI215" i="1" s="1"/>
  <c r="AE215" i="1" s="1"/>
  <c r="AO215" i="1"/>
  <c r="BH215" i="1" s="1"/>
  <c r="AD215" i="1" s="1"/>
  <c r="AK215" i="1"/>
  <c r="AJ215" i="1"/>
  <c r="AH215" i="1"/>
  <c r="AG215" i="1"/>
  <c r="AF215" i="1"/>
  <c r="AC215" i="1"/>
  <c r="AB215" i="1"/>
  <c r="Z215" i="1"/>
  <c r="J215" i="1"/>
  <c r="AL215" i="1" s="1"/>
  <c r="H215" i="1"/>
  <c r="BJ214" i="1"/>
  <c r="BF214" i="1"/>
  <c r="BD214" i="1"/>
  <c r="AW214" i="1"/>
  <c r="AP214" i="1"/>
  <c r="BI214" i="1" s="1"/>
  <c r="AE214" i="1" s="1"/>
  <c r="AO214" i="1"/>
  <c r="BH214" i="1" s="1"/>
  <c r="AD214" i="1" s="1"/>
  <c r="AL214" i="1"/>
  <c r="AK214" i="1"/>
  <c r="AJ214" i="1"/>
  <c r="AH214" i="1"/>
  <c r="AG214" i="1"/>
  <c r="AF214" i="1"/>
  <c r="AC214" i="1"/>
  <c r="AB214" i="1"/>
  <c r="Z214" i="1"/>
  <c r="J214" i="1"/>
  <c r="I214" i="1"/>
  <c r="H214" i="1"/>
  <c r="BJ213" i="1"/>
  <c r="BF213" i="1"/>
  <c r="BD213" i="1"/>
  <c r="AX213" i="1"/>
  <c r="AP213" i="1"/>
  <c r="BI213" i="1" s="1"/>
  <c r="AE213" i="1" s="1"/>
  <c r="AO213" i="1"/>
  <c r="BH213" i="1" s="1"/>
  <c r="AD213" i="1" s="1"/>
  <c r="AK213" i="1"/>
  <c r="AJ213" i="1"/>
  <c r="AH213" i="1"/>
  <c r="AG213" i="1"/>
  <c r="AF213" i="1"/>
  <c r="AC213" i="1"/>
  <c r="AB213" i="1"/>
  <c r="Z213" i="1"/>
  <c r="J213" i="1"/>
  <c r="AL213" i="1" s="1"/>
  <c r="I213" i="1"/>
  <c r="BJ212" i="1"/>
  <c r="BF212" i="1"/>
  <c r="BD212" i="1"/>
  <c r="AP212" i="1"/>
  <c r="AO212" i="1"/>
  <c r="BH212" i="1" s="1"/>
  <c r="AD212" i="1" s="1"/>
  <c r="AK212" i="1"/>
  <c r="AJ212" i="1"/>
  <c r="AH212" i="1"/>
  <c r="AG212" i="1"/>
  <c r="AF212" i="1"/>
  <c r="AC212" i="1"/>
  <c r="AB212" i="1"/>
  <c r="Z212" i="1"/>
  <c r="J212" i="1"/>
  <c r="AL212" i="1" s="1"/>
  <c r="BJ211" i="1"/>
  <c r="BF211" i="1"/>
  <c r="BD211" i="1"/>
  <c r="AP211" i="1"/>
  <c r="BI211" i="1" s="1"/>
  <c r="AE211" i="1" s="1"/>
  <c r="AO211" i="1"/>
  <c r="BH211" i="1" s="1"/>
  <c r="AD211" i="1" s="1"/>
  <c r="AK211" i="1"/>
  <c r="AJ211" i="1"/>
  <c r="AH211" i="1"/>
  <c r="AG211" i="1"/>
  <c r="AF211" i="1"/>
  <c r="AC211" i="1"/>
  <c r="AB211" i="1"/>
  <c r="Z211" i="1"/>
  <c r="J211" i="1"/>
  <c r="AL211" i="1" s="1"/>
  <c r="H211" i="1"/>
  <c r="BJ210" i="1"/>
  <c r="BF210" i="1"/>
  <c r="BD210" i="1"/>
  <c r="AP210" i="1"/>
  <c r="BI210" i="1" s="1"/>
  <c r="AE210" i="1" s="1"/>
  <c r="AO210" i="1"/>
  <c r="BH210" i="1" s="1"/>
  <c r="AD210" i="1" s="1"/>
  <c r="AL210" i="1"/>
  <c r="AK210" i="1"/>
  <c r="AJ210" i="1"/>
  <c r="AH210" i="1"/>
  <c r="AG210" i="1"/>
  <c r="AF210" i="1"/>
  <c r="AC210" i="1"/>
  <c r="AB210" i="1"/>
  <c r="Z210" i="1"/>
  <c r="J210" i="1"/>
  <c r="I210" i="1"/>
  <c r="H210" i="1"/>
  <c r="BJ209" i="1"/>
  <c r="BF209" i="1"/>
  <c r="BD209" i="1"/>
  <c r="AX209" i="1"/>
  <c r="AP209" i="1"/>
  <c r="BI209" i="1" s="1"/>
  <c r="AE209" i="1" s="1"/>
  <c r="AO209" i="1"/>
  <c r="AK209" i="1"/>
  <c r="AJ209" i="1"/>
  <c r="AH209" i="1"/>
  <c r="AG209" i="1"/>
  <c r="AF209" i="1"/>
  <c r="AC209" i="1"/>
  <c r="AB209" i="1"/>
  <c r="Z209" i="1"/>
  <c r="J209" i="1"/>
  <c r="AL209" i="1" s="1"/>
  <c r="I209" i="1"/>
  <c r="BJ208" i="1"/>
  <c r="BF208" i="1"/>
  <c r="BD208" i="1"/>
  <c r="AP208" i="1"/>
  <c r="AO208" i="1"/>
  <c r="BH208" i="1" s="1"/>
  <c r="AD208" i="1" s="1"/>
  <c r="AK208" i="1"/>
  <c r="AJ208" i="1"/>
  <c r="AH208" i="1"/>
  <c r="AG208" i="1"/>
  <c r="AF208" i="1"/>
  <c r="AC208" i="1"/>
  <c r="AB208" i="1"/>
  <c r="Z208" i="1"/>
  <c r="J208" i="1"/>
  <c r="AL208" i="1" s="1"/>
  <c r="BJ207" i="1"/>
  <c r="BF207" i="1"/>
  <c r="BD207" i="1"/>
  <c r="AP207" i="1"/>
  <c r="BI207" i="1" s="1"/>
  <c r="AE207" i="1" s="1"/>
  <c r="AO207" i="1"/>
  <c r="BH207" i="1" s="1"/>
  <c r="AD207" i="1" s="1"/>
  <c r="AK207" i="1"/>
  <c r="AJ207" i="1"/>
  <c r="AH207" i="1"/>
  <c r="AG207" i="1"/>
  <c r="AF207" i="1"/>
  <c r="AC207" i="1"/>
  <c r="AB207" i="1"/>
  <c r="Z207" i="1"/>
  <c r="J207" i="1"/>
  <c r="AL207" i="1" s="1"/>
  <c r="H207" i="1"/>
  <c r="BJ206" i="1"/>
  <c r="BF206" i="1"/>
  <c r="BD206" i="1"/>
  <c r="AW206" i="1"/>
  <c r="AP206" i="1"/>
  <c r="BI206" i="1" s="1"/>
  <c r="AE206" i="1" s="1"/>
  <c r="AO206" i="1"/>
  <c r="BH206" i="1" s="1"/>
  <c r="AD206" i="1" s="1"/>
  <c r="AK206" i="1"/>
  <c r="AJ206" i="1"/>
  <c r="AH206" i="1"/>
  <c r="AG206" i="1"/>
  <c r="AF206" i="1"/>
  <c r="AC206" i="1"/>
  <c r="AB206" i="1"/>
  <c r="Z206" i="1"/>
  <c r="J206" i="1"/>
  <c r="AL206" i="1" s="1"/>
  <c r="I206" i="1"/>
  <c r="H206" i="1"/>
  <c r="BJ205" i="1"/>
  <c r="BF205" i="1"/>
  <c r="BD205" i="1"/>
  <c r="AP205" i="1"/>
  <c r="BI205" i="1" s="1"/>
  <c r="AE205" i="1" s="1"/>
  <c r="AO205" i="1"/>
  <c r="AK205" i="1"/>
  <c r="AJ205" i="1"/>
  <c r="AH205" i="1"/>
  <c r="AG205" i="1"/>
  <c r="AF205" i="1"/>
  <c r="AC205" i="1"/>
  <c r="AB205" i="1"/>
  <c r="Z205" i="1"/>
  <c r="J205" i="1"/>
  <c r="AL205" i="1" s="1"/>
  <c r="I205" i="1"/>
  <c r="BJ204" i="1"/>
  <c r="BF204" i="1"/>
  <c r="BD204" i="1"/>
  <c r="AP204" i="1"/>
  <c r="AO204" i="1"/>
  <c r="BH204" i="1" s="1"/>
  <c r="AD204" i="1" s="1"/>
  <c r="AK204" i="1"/>
  <c r="AJ204" i="1"/>
  <c r="AH204" i="1"/>
  <c r="AG204" i="1"/>
  <c r="AF204" i="1"/>
  <c r="AC204" i="1"/>
  <c r="AB204" i="1"/>
  <c r="Z204" i="1"/>
  <c r="J204" i="1"/>
  <c r="AL204" i="1" s="1"/>
  <c r="BJ203" i="1"/>
  <c r="BF203" i="1"/>
  <c r="BD203" i="1"/>
  <c r="AP203" i="1"/>
  <c r="BI203" i="1" s="1"/>
  <c r="AE203" i="1" s="1"/>
  <c r="AO203" i="1"/>
  <c r="BH203" i="1" s="1"/>
  <c r="AD203" i="1" s="1"/>
  <c r="AK203" i="1"/>
  <c r="AJ203" i="1"/>
  <c r="AH203" i="1"/>
  <c r="AG203" i="1"/>
  <c r="AF203" i="1"/>
  <c r="AC203" i="1"/>
  <c r="AB203" i="1"/>
  <c r="Z203" i="1"/>
  <c r="J203" i="1"/>
  <c r="AL203" i="1" s="1"/>
  <c r="H203" i="1"/>
  <c r="BJ202" i="1"/>
  <c r="BF202" i="1"/>
  <c r="BD202" i="1"/>
  <c r="AW202" i="1"/>
  <c r="AP202" i="1"/>
  <c r="BI202" i="1" s="1"/>
  <c r="AE202" i="1" s="1"/>
  <c r="AO202" i="1"/>
  <c r="BH202" i="1" s="1"/>
  <c r="AD202" i="1" s="1"/>
  <c r="AK202" i="1"/>
  <c r="AJ202" i="1"/>
  <c r="AH202" i="1"/>
  <c r="AG202" i="1"/>
  <c r="AF202" i="1"/>
  <c r="AC202" i="1"/>
  <c r="AB202" i="1"/>
  <c r="Z202" i="1"/>
  <c r="J202" i="1"/>
  <c r="AL202" i="1" s="1"/>
  <c r="I202" i="1"/>
  <c r="H202" i="1"/>
  <c r="BJ201" i="1"/>
  <c r="BF201" i="1"/>
  <c r="BD201" i="1"/>
  <c r="AP201" i="1"/>
  <c r="AO201" i="1"/>
  <c r="BH201" i="1" s="1"/>
  <c r="AD201" i="1" s="1"/>
  <c r="AK201" i="1"/>
  <c r="AJ201" i="1"/>
  <c r="AH201" i="1"/>
  <c r="AG201" i="1"/>
  <c r="AF201" i="1"/>
  <c r="AC201" i="1"/>
  <c r="AB201" i="1"/>
  <c r="Z201" i="1"/>
  <c r="J201" i="1"/>
  <c r="AL201" i="1" s="1"/>
  <c r="BJ200" i="1"/>
  <c r="BF200" i="1"/>
  <c r="BD200" i="1"/>
  <c r="AP200" i="1"/>
  <c r="AO200" i="1"/>
  <c r="BH200" i="1" s="1"/>
  <c r="AD200" i="1" s="1"/>
  <c r="AK200" i="1"/>
  <c r="AJ200" i="1"/>
  <c r="AH200" i="1"/>
  <c r="AG200" i="1"/>
  <c r="AF200" i="1"/>
  <c r="AC200" i="1"/>
  <c r="AB200" i="1"/>
  <c r="Z200" i="1"/>
  <c r="J200" i="1"/>
  <c r="AL200" i="1" s="1"/>
  <c r="BJ199" i="1"/>
  <c r="BF199" i="1"/>
  <c r="BD199" i="1"/>
  <c r="AP199" i="1"/>
  <c r="BI199" i="1" s="1"/>
  <c r="AE199" i="1" s="1"/>
  <c r="AO199" i="1"/>
  <c r="BH199" i="1" s="1"/>
  <c r="AD199" i="1" s="1"/>
  <c r="AK199" i="1"/>
  <c r="AJ199" i="1"/>
  <c r="AH199" i="1"/>
  <c r="AG199" i="1"/>
  <c r="AF199" i="1"/>
  <c r="AC199" i="1"/>
  <c r="AB199" i="1"/>
  <c r="Z199" i="1"/>
  <c r="J199" i="1"/>
  <c r="AL199" i="1" s="1"/>
  <c r="H199" i="1"/>
  <c r="BJ198" i="1"/>
  <c r="BF198" i="1"/>
  <c r="BD198" i="1"/>
  <c r="AP198" i="1"/>
  <c r="BI198" i="1" s="1"/>
  <c r="AE198" i="1" s="1"/>
  <c r="AO198" i="1"/>
  <c r="H198" i="1" s="1"/>
  <c r="AK198" i="1"/>
  <c r="AJ198" i="1"/>
  <c r="AH198" i="1"/>
  <c r="AG198" i="1"/>
  <c r="AF198" i="1"/>
  <c r="AC198" i="1"/>
  <c r="AB198" i="1"/>
  <c r="Z198" i="1"/>
  <c r="J198" i="1"/>
  <c r="AL198" i="1" s="1"/>
  <c r="I198" i="1"/>
  <c r="BJ197" i="1"/>
  <c r="BF197" i="1"/>
  <c r="BD197" i="1"/>
  <c r="AX197" i="1"/>
  <c r="AP197" i="1"/>
  <c r="BI197" i="1" s="1"/>
  <c r="AE197" i="1" s="1"/>
  <c r="AO197" i="1"/>
  <c r="BH197" i="1" s="1"/>
  <c r="AD197" i="1" s="1"/>
  <c r="AK197" i="1"/>
  <c r="AJ197" i="1"/>
  <c r="AH197" i="1"/>
  <c r="AG197" i="1"/>
  <c r="AF197" i="1"/>
  <c r="AC197" i="1"/>
  <c r="AB197" i="1"/>
  <c r="Z197" i="1"/>
  <c r="J197" i="1"/>
  <c r="AL197" i="1" s="1"/>
  <c r="I197" i="1"/>
  <c r="BJ196" i="1"/>
  <c r="BF196" i="1"/>
  <c r="BD196" i="1"/>
  <c r="AP196" i="1"/>
  <c r="AO196" i="1"/>
  <c r="BH196" i="1" s="1"/>
  <c r="AD196" i="1" s="1"/>
  <c r="AK196" i="1"/>
  <c r="AJ196" i="1"/>
  <c r="AH196" i="1"/>
  <c r="AG196" i="1"/>
  <c r="AF196" i="1"/>
  <c r="AC196" i="1"/>
  <c r="AB196" i="1"/>
  <c r="Z196" i="1"/>
  <c r="J196" i="1"/>
  <c r="AL196" i="1" s="1"/>
  <c r="BJ195" i="1"/>
  <c r="BF195" i="1"/>
  <c r="BD195" i="1"/>
  <c r="AP195" i="1"/>
  <c r="BI195" i="1" s="1"/>
  <c r="AE195" i="1" s="1"/>
  <c r="AO195" i="1"/>
  <c r="BH195" i="1" s="1"/>
  <c r="AD195" i="1" s="1"/>
  <c r="AK195" i="1"/>
  <c r="AJ195" i="1"/>
  <c r="AH195" i="1"/>
  <c r="AG195" i="1"/>
  <c r="AF195" i="1"/>
  <c r="AC195" i="1"/>
  <c r="AB195" i="1"/>
  <c r="Z195" i="1"/>
  <c r="J195" i="1"/>
  <c r="AL195" i="1" s="1"/>
  <c r="H195" i="1"/>
  <c r="BJ194" i="1"/>
  <c r="BF194" i="1"/>
  <c r="BD194" i="1"/>
  <c r="AP194" i="1"/>
  <c r="BI194" i="1" s="1"/>
  <c r="AE194" i="1" s="1"/>
  <c r="AO194" i="1"/>
  <c r="AL194" i="1"/>
  <c r="AK194" i="1"/>
  <c r="AJ194" i="1"/>
  <c r="AH194" i="1"/>
  <c r="AG194" i="1"/>
  <c r="AF194" i="1"/>
  <c r="AC194" i="1"/>
  <c r="AB194" i="1"/>
  <c r="Z194" i="1"/>
  <c r="J194" i="1"/>
  <c r="H194" i="1"/>
  <c r="BJ193" i="1"/>
  <c r="BF193" i="1"/>
  <c r="BD193" i="1"/>
  <c r="AP193" i="1"/>
  <c r="BI193" i="1" s="1"/>
  <c r="AE193" i="1" s="1"/>
  <c r="AO193" i="1"/>
  <c r="AK193" i="1"/>
  <c r="AJ193" i="1"/>
  <c r="AH193" i="1"/>
  <c r="AG193" i="1"/>
  <c r="AF193" i="1"/>
  <c r="AC193" i="1"/>
  <c r="AB193" i="1"/>
  <c r="Z193" i="1"/>
  <c r="J193" i="1"/>
  <c r="AL193" i="1" s="1"/>
  <c r="I193" i="1"/>
  <c r="BJ192" i="1"/>
  <c r="BF192" i="1"/>
  <c r="BD192" i="1"/>
  <c r="AP192" i="1"/>
  <c r="AO192" i="1"/>
  <c r="BH192" i="1" s="1"/>
  <c r="AD192" i="1" s="1"/>
  <c r="AK192" i="1"/>
  <c r="AJ192" i="1"/>
  <c r="AH192" i="1"/>
  <c r="AG192" i="1"/>
  <c r="AF192" i="1"/>
  <c r="AC192" i="1"/>
  <c r="AB192" i="1"/>
  <c r="Z192" i="1"/>
  <c r="J192" i="1"/>
  <c r="AL192" i="1" s="1"/>
  <c r="BJ191" i="1"/>
  <c r="BF191" i="1"/>
  <c r="BD191" i="1"/>
  <c r="AP191" i="1"/>
  <c r="BI191" i="1" s="1"/>
  <c r="AE191" i="1" s="1"/>
  <c r="AO191" i="1"/>
  <c r="BH191" i="1" s="1"/>
  <c r="AD191" i="1" s="1"/>
  <c r="AK191" i="1"/>
  <c r="AJ191" i="1"/>
  <c r="AH191" i="1"/>
  <c r="AG191" i="1"/>
  <c r="AF191" i="1"/>
  <c r="AC191" i="1"/>
  <c r="AB191" i="1"/>
  <c r="Z191" i="1"/>
  <c r="J191" i="1"/>
  <c r="AL191" i="1" s="1"/>
  <c r="H191" i="1"/>
  <c r="BJ190" i="1"/>
  <c r="BF190" i="1"/>
  <c r="BD190" i="1"/>
  <c r="AW190" i="1"/>
  <c r="AP190" i="1"/>
  <c r="BI190" i="1" s="1"/>
  <c r="AE190" i="1" s="1"/>
  <c r="AO190" i="1"/>
  <c r="BH190" i="1" s="1"/>
  <c r="AD190" i="1" s="1"/>
  <c r="AK190" i="1"/>
  <c r="AJ190" i="1"/>
  <c r="AH190" i="1"/>
  <c r="AG190" i="1"/>
  <c r="AF190" i="1"/>
  <c r="AC190" i="1"/>
  <c r="AB190" i="1"/>
  <c r="Z190" i="1"/>
  <c r="J190" i="1"/>
  <c r="AL190" i="1" s="1"/>
  <c r="I190" i="1"/>
  <c r="H190" i="1"/>
  <c r="BJ189" i="1"/>
  <c r="BF189" i="1"/>
  <c r="BD189" i="1"/>
  <c r="AX189" i="1"/>
  <c r="AP189" i="1"/>
  <c r="BI189" i="1" s="1"/>
  <c r="AE189" i="1" s="1"/>
  <c r="AO189" i="1"/>
  <c r="AK189" i="1"/>
  <c r="AJ189" i="1"/>
  <c r="AH189" i="1"/>
  <c r="AG189" i="1"/>
  <c r="AF189" i="1"/>
  <c r="AC189" i="1"/>
  <c r="AB189" i="1"/>
  <c r="Z189" i="1"/>
  <c r="J189" i="1"/>
  <c r="I189" i="1"/>
  <c r="BJ187" i="1"/>
  <c r="Z187" i="1" s="1"/>
  <c r="BF187" i="1"/>
  <c r="BD187" i="1"/>
  <c r="AW187" i="1"/>
  <c r="AP187" i="1"/>
  <c r="BI187" i="1" s="1"/>
  <c r="AO187" i="1"/>
  <c r="BH187" i="1" s="1"/>
  <c r="AK187" i="1"/>
  <c r="AJ187" i="1"/>
  <c r="AH187" i="1"/>
  <c r="AG187" i="1"/>
  <c r="AF187" i="1"/>
  <c r="AE187" i="1"/>
  <c r="AD187" i="1"/>
  <c r="AC187" i="1"/>
  <c r="AB187" i="1"/>
  <c r="J187" i="1"/>
  <c r="AL187" i="1" s="1"/>
  <c r="H187" i="1"/>
  <c r="BJ186" i="1"/>
  <c r="BF186" i="1"/>
  <c r="BD186" i="1"/>
  <c r="AP186" i="1"/>
  <c r="AO186" i="1"/>
  <c r="BH186" i="1" s="1"/>
  <c r="AD186" i="1" s="1"/>
  <c r="AK186" i="1"/>
  <c r="AJ186" i="1"/>
  <c r="AH186" i="1"/>
  <c r="AG186" i="1"/>
  <c r="AF186" i="1"/>
  <c r="AC186" i="1"/>
  <c r="AB186" i="1"/>
  <c r="Z186" i="1"/>
  <c r="J186" i="1"/>
  <c r="AL186" i="1" s="1"/>
  <c r="BJ185" i="1"/>
  <c r="BF185" i="1"/>
  <c r="BD185" i="1"/>
  <c r="AP185" i="1"/>
  <c r="AO185" i="1"/>
  <c r="BH185" i="1" s="1"/>
  <c r="AD185" i="1" s="1"/>
  <c r="AK185" i="1"/>
  <c r="AJ185" i="1"/>
  <c r="AH185" i="1"/>
  <c r="AG185" i="1"/>
  <c r="AF185" i="1"/>
  <c r="AC185" i="1"/>
  <c r="AB185" i="1"/>
  <c r="Z185" i="1"/>
  <c r="J185" i="1"/>
  <c r="AL185" i="1" s="1"/>
  <c r="BJ184" i="1"/>
  <c r="BF184" i="1"/>
  <c r="BD184" i="1"/>
  <c r="AP184" i="1"/>
  <c r="BI184" i="1" s="1"/>
  <c r="AE184" i="1" s="1"/>
  <c r="AO184" i="1"/>
  <c r="BH184" i="1" s="1"/>
  <c r="AD184" i="1" s="1"/>
  <c r="AK184" i="1"/>
  <c r="AJ184" i="1"/>
  <c r="AH184" i="1"/>
  <c r="AG184" i="1"/>
  <c r="AF184" i="1"/>
  <c r="AC184" i="1"/>
  <c r="AB184" i="1"/>
  <c r="Z184" i="1"/>
  <c r="J184" i="1"/>
  <c r="AL184" i="1" s="1"/>
  <c r="H184" i="1"/>
  <c r="BJ183" i="1"/>
  <c r="BF183" i="1"/>
  <c r="BD183" i="1"/>
  <c r="AP183" i="1"/>
  <c r="BI183" i="1" s="1"/>
  <c r="AE183" i="1" s="1"/>
  <c r="AO183" i="1"/>
  <c r="BH183" i="1" s="1"/>
  <c r="AD183" i="1" s="1"/>
  <c r="AL183" i="1"/>
  <c r="AK183" i="1"/>
  <c r="AJ183" i="1"/>
  <c r="AH183" i="1"/>
  <c r="AG183" i="1"/>
  <c r="AF183" i="1"/>
  <c r="AC183" i="1"/>
  <c r="AB183" i="1"/>
  <c r="Z183" i="1"/>
  <c r="J183" i="1"/>
  <c r="I183" i="1"/>
  <c r="H183" i="1"/>
  <c r="BJ182" i="1"/>
  <c r="BF182" i="1"/>
  <c r="BD182" i="1"/>
  <c r="AP182" i="1"/>
  <c r="BI182" i="1" s="1"/>
  <c r="AE182" i="1" s="1"/>
  <c r="AO182" i="1"/>
  <c r="AK182" i="1"/>
  <c r="AJ182" i="1"/>
  <c r="AH182" i="1"/>
  <c r="AG182" i="1"/>
  <c r="AF182" i="1"/>
  <c r="AC182" i="1"/>
  <c r="AB182" i="1"/>
  <c r="Z182" i="1"/>
  <c r="J182" i="1"/>
  <c r="AL182" i="1" s="1"/>
  <c r="BJ181" i="1"/>
  <c r="BF181" i="1"/>
  <c r="BD181" i="1"/>
  <c r="AP181" i="1"/>
  <c r="AO181" i="1"/>
  <c r="BH181" i="1" s="1"/>
  <c r="AD181" i="1" s="1"/>
  <c r="AK181" i="1"/>
  <c r="AJ181" i="1"/>
  <c r="AH181" i="1"/>
  <c r="AG181" i="1"/>
  <c r="AF181" i="1"/>
  <c r="AC181" i="1"/>
  <c r="AB181" i="1"/>
  <c r="Z181" i="1"/>
  <c r="J181" i="1"/>
  <c r="AL181" i="1" s="1"/>
  <c r="BJ179" i="1"/>
  <c r="Z179" i="1" s="1"/>
  <c r="BH179" i="1"/>
  <c r="BF179" i="1"/>
  <c r="BD179" i="1"/>
  <c r="AP179" i="1"/>
  <c r="BI179" i="1" s="1"/>
  <c r="AO179" i="1"/>
  <c r="AK179" i="1"/>
  <c r="AJ179" i="1"/>
  <c r="AH179" i="1"/>
  <c r="AG179" i="1"/>
  <c r="AF179" i="1"/>
  <c r="AE179" i="1"/>
  <c r="AD179" i="1"/>
  <c r="AC179" i="1"/>
  <c r="AB179" i="1"/>
  <c r="J179" i="1"/>
  <c r="I179" i="1"/>
  <c r="BJ178" i="1"/>
  <c r="BF178" i="1"/>
  <c r="BD178" i="1"/>
  <c r="AP178" i="1"/>
  <c r="AO178" i="1"/>
  <c r="BH178" i="1" s="1"/>
  <c r="AD178" i="1" s="1"/>
  <c r="AK178" i="1"/>
  <c r="AJ178" i="1"/>
  <c r="AH178" i="1"/>
  <c r="AG178" i="1"/>
  <c r="AF178" i="1"/>
  <c r="AC178" i="1"/>
  <c r="AB178" i="1"/>
  <c r="Z178" i="1"/>
  <c r="J178" i="1"/>
  <c r="AL178" i="1" s="1"/>
  <c r="BJ177" i="1"/>
  <c r="BF177" i="1"/>
  <c r="BD177" i="1"/>
  <c r="AP177" i="1"/>
  <c r="BI177" i="1" s="1"/>
  <c r="AE177" i="1" s="1"/>
  <c r="AO177" i="1"/>
  <c r="BH177" i="1" s="1"/>
  <c r="AD177" i="1" s="1"/>
  <c r="AK177" i="1"/>
  <c r="AJ177" i="1"/>
  <c r="AH177" i="1"/>
  <c r="AG177" i="1"/>
  <c r="AF177" i="1"/>
  <c r="AC177" i="1"/>
  <c r="AB177" i="1"/>
  <c r="Z177" i="1"/>
  <c r="J177" i="1"/>
  <c r="AL177" i="1" s="1"/>
  <c r="H177" i="1"/>
  <c r="BJ176" i="1"/>
  <c r="BF176" i="1"/>
  <c r="BD176" i="1"/>
  <c r="AP176" i="1"/>
  <c r="BI176" i="1" s="1"/>
  <c r="AE176" i="1" s="1"/>
  <c r="AO176" i="1"/>
  <c r="BH176" i="1" s="1"/>
  <c r="AD176" i="1" s="1"/>
  <c r="AL176" i="1"/>
  <c r="AK176" i="1"/>
  <c r="AJ176" i="1"/>
  <c r="AS175" i="1" s="1"/>
  <c r="AH176" i="1"/>
  <c r="AG176" i="1"/>
  <c r="AF176" i="1"/>
  <c r="AC176" i="1"/>
  <c r="AB176" i="1"/>
  <c r="Z176" i="1"/>
  <c r="J176" i="1"/>
  <c r="I176" i="1"/>
  <c r="H176" i="1"/>
  <c r="BJ174" i="1"/>
  <c r="Z174" i="1" s="1"/>
  <c r="BF174" i="1"/>
  <c r="BD174" i="1"/>
  <c r="AP174" i="1"/>
  <c r="BI174" i="1" s="1"/>
  <c r="AO174" i="1"/>
  <c r="BH174" i="1" s="1"/>
  <c r="AK174" i="1"/>
  <c r="AT173" i="1" s="1"/>
  <c r="AJ174" i="1"/>
  <c r="AS173" i="1" s="1"/>
  <c r="AH174" i="1"/>
  <c r="AG174" i="1"/>
  <c r="AF174" i="1"/>
  <c r="AE174" i="1"/>
  <c r="AD174" i="1"/>
  <c r="AC174" i="1"/>
  <c r="AB174" i="1"/>
  <c r="J174" i="1"/>
  <c r="AL174" i="1" s="1"/>
  <c r="AU173" i="1" s="1"/>
  <c r="J173" i="1"/>
  <c r="BJ172" i="1"/>
  <c r="Z172" i="1" s="1"/>
  <c r="BF172" i="1"/>
  <c r="BD172" i="1"/>
  <c r="AP172" i="1"/>
  <c r="AO172" i="1"/>
  <c r="BH172" i="1" s="1"/>
  <c r="AK172" i="1"/>
  <c r="AJ172" i="1"/>
  <c r="AH172" i="1"/>
  <c r="AG172" i="1"/>
  <c r="AF172" i="1"/>
  <c r="AE172" i="1"/>
  <c r="AD172" i="1"/>
  <c r="AC172" i="1"/>
  <c r="AB172" i="1"/>
  <c r="J172" i="1"/>
  <c r="AL172" i="1" s="1"/>
  <c r="BJ171" i="1"/>
  <c r="Z171" i="1" s="1"/>
  <c r="BF171" i="1"/>
  <c r="BD171" i="1"/>
  <c r="AP171" i="1"/>
  <c r="BI171" i="1" s="1"/>
  <c r="AO171" i="1"/>
  <c r="AK171" i="1"/>
  <c r="AJ171" i="1"/>
  <c r="AH171" i="1"/>
  <c r="AG171" i="1"/>
  <c r="AF171" i="1"/>
  <c r="AE171" i="1"/>
  <c r="AD171" i="1"/>
  <c r="AC171" i="1"/>
  <c r="AB171" i="1"/>
  <c r="J171" i="1"/>
  <c r="AL171" i="1" s="1"/>
  <c r="BJ170" i="1"/>
  <c r="Z170" i="1" s="1"/>
  <c r="BF170" i="1"/>
  <c r="BD170" i="1"/>
  <c r="AW170" i="1"/>
  <c r="AP170" i="1"/>
  <c r="BI170" i="1" s="1"/>
  <c r="AO170" i="1"/>
  <c r="BH170" i="1" s="1"/>
  <c r="AK170" i="1"/>
  <c r="AJ170" i="1"/>
  <c r="AH170" i="1"/>
  <c r="AG170" i="1"/>
  <c r="AF170" i="1"/>
  <c r="AE170" i="1"/>
  <c r="AD170" i="1"/>
  <c r="AC170" i="1"/>
  <c r="AB170" i="1"/>
  <c r="J170" i="1"/>
  <c r="AL170" i="1" s="1"/>
  <c r="BJ169" i="1"/>
  <c r="Z169" i="1" s="1"/>
  <c r="BH169" i="1"/>
  <c r="BF169" i="1"/>
  <c r="BD169" i="1"/>
  <c r="AP169" i="1"/>
  <c r="AO169" i="1"/>
  <c r="AK169" i="1"/>
  <c r="AJ169" i="1"/>
  <c r="AH169" i="1"/>
  <c r="AG169" i="1"/>
  <c r="AF169" i="1"/>
  <c r="AE169" i="1"/>
  <c r="AD169" i="1"/>
  <c r="AC169" i="1"/>
  <c r="AB169" i="1"/>
  <c r="J169" i="1"/>
  <c r="AL169" i="1" s="1"/>
  <c r="I169" i="1"/>
  <c r="BJ168" i="1"/>
  <c r="BF168" i="1"/>
  <c r="BD168" i="1"/>
  <c r="AP168" i="1"/>
  <c r="AO168" i="1"/>
  <c r="BH168" i="1" s="1"/>
  <c r="AK168" i="1"/>
  <c r="AJ168" i="1"/>
  <c r="AH168" i="1"/>
  <c r="AG168" i="1"/>
  <c r="AF168" i="1"/>
  <c r="AE168" i="1"/>
  <c r="AD168" i="1"/>
  <c r="AC168" i="1"/>
  <c r="AB168" i="1"/>
  <c r="Z168" i="1"/>
  <c r="J168" i="1"/>
  <c r="AL168" i="1" s="1"/>
  <c r="BJ167" i="1"/>
  <c r="Z167" i="1" s="1"/>
  <c r="BF167" i="1"/>
  <c r="BD167" i="1"/>
  <c r="AP167" i="1"/>
  <c r="BI167" i="1" s="1"/>
  <c r="AO167" i="1"/>
  <c r="BH167" i="1" s="1"/>
  <c r="AK167" i="1"/>
  <c r="AJ167" i="1"/>
  <c r="AH167" i="1"/>
  <c r="AG167" i="1"/>
  <c r="AF167" i="1"/>
  <c r="AE167" i="1"/>
  <c r="AD167" i="1"/>
  <c r="AC167" i="1"/>
  <c r="AB167" i="1"/>
  <c r="J167" i="1"/>
  <c r="AL167" i="1" s="1"/>
  <c r="H167" i="1"/>
  <c r="BJ166" i="1"/>
  <c r="Z166" i="1" s="1"/>
  <c r="BF166" i="1"/>
  <c r="BD166" i="1"/>
  <c r="AP166" i="1"/>
  <c r="BI166" i="1" s="1"/>
  <c r="AO166" i="1"/>
  <c r="BH166" i="1" s="1"/>
  <c r="AL166" i="1"/>
  <c r="AK166" i="1"/>
  <c r="AJ166" i="1"/>
  <c r="AH166" i="1"/>
  <c r="AG166" i="1"/>
  <c r="AF166" i="1"/>
  <c r="AE166" i="1"/>
  <c r="AD166" i="1"/>
  <c r="AC166" i="1"/>
  <c r="AB166" i="1"/>
  <c r="J166" i="1"/>
  <c r="I166" i="1"/>
  <c r="H166" i="1"/>
  <c r="BJ165" i="1"/>
  <c r="Z165" i="1" s="1"/>
  <c r="BF165" i="1"/>
  <c r="BD165" i="1"/>
  <c r="AP165" i="1"/>
  <c r="BI165" i="1" s="1"/>
  <c r="AO165" i="1"/>
  <c r="BH165" i="1" s="1"/>
  <c r="AK165" i="1"/>
  <c r="AJ165" i="1"/>
  <c r="AH165" i="1"/>
  <c r="AG165" i="1"/>
  <c r="AF165" i="1"/>
  <c r="AE165" i="1"/>
  <c r="AD165" i="1"/>
  <c r="AC165" i="1"/>
  <c r="AB165" i="1"/>
  <c r="J165" i="1"/>
  <c r="AL165" i="1" s="1"/>
  <c r="I165" i="1"/>
  <c r="BJ164" i="1"/>
  <c r="BF164" i="1"/>
  <c r="BD164" i="1"/>
  <c r="AP164" i="1"/>
  <c r="AO164" i="1"/>
  <c r="BH164" i="1" s="1"/>
  <c r="AK164" i="1"/>
  <c r="AJ164" i="1"/>
  <c r="AH164" i="1"/>
  <c r="AG164" i="1"/>
  <c r="AF164" i="1"/>
  <c r="AE164" i="1"/>
  <c r="AD164" i="1"/>
  <c r="AC164" i="1"/>
  <c r="AB164" i="1"/>
  <c r="Z164" i="1"/>
  <c r="J164" i="1"/>
  <c r="AL164" i="1" s="1"/>
  <c r="BJ163" i="1"/>
  <c r="Z163" i="1" s="1"/>
  <c r="BF163" i="1"/>
  <c r="BD163" i="1"/>
  <c r="AP163" i="1"/>
  <c r="BI163" i="1" s="1"/>
  <c r="AO163" i="1"/>
  <c r="BH163" i="1" s="1"/>
  <c r="AK163" i="1"/>
  <c r="AJ163" i="1"/>
  <c r="AH163" i="1"/>
  <c r="AG163" i="1"/>
  <c r="AF163" i="1"/>
  <c r="AE163" i="1"/>
  <c r="AD163" i="1"/>
  <c r="AC163" i="1"/>
  <c r="AB163" i="1"/>
  <c r="J163" i="1"/>
  <c r="AL163" i="1" s="1"/>
  <c r="H163" i="1"/>
  <c r="BJ162" i="1"/>
  <c r="Z162" i="1" s="1"/>
  <c r="BF162" i="1"/>
  <c r="BD162" i="1"/>
  <c r="AW162" i="1"/>
  <c r="AP162" i="1"/>
  <c r="BI162" i="1" s="1"/>
  <c r="AO162" i="1"/>
  <c r="BH162" i="1" s="1"/>
  <c r="AL162" i="1"/>
  <c r="AK162" i="1"/>
  <c r="AJ162" i="1"/>
  <c r="AH162" i="1"/>
  <c r="AG162" i="1"/>
  <c r="AF162" i="1"/>
  <c r="AE162" i="1"/>
  <c r="AD162" i="1"/>
  <c r="AC162" i="1"/>
  <c r="AB162" i="1"/>
  <c r="J162" i="1"/>
  <c r="H162" i="1"/>
  <c r="BJ161" i="1"/>
  <c r="Z161" i="1" s="1"/>
  <c r="BH161" i="1"/>
  <c r="BF161" i="1"/>
  <c r="BD161" i="1"/>
  <c r="AX161" i="1"/>
  <c r="AP161" i="1"/>
  <c r="BI161" i="1" s="1"/>
  <c r="AO161" i="1"/>
  <c r="AK161" i="1"/>
  <c r="AJ161" i="1"/>
  <c r="AH161" i="1"/>
  <c r="AG161" i="1"/>
  <c r="AF161" i="1"/>
  <c r="AE161" i="1"/>
  <c r="AD161" i="1"/>
  <c r="AC161" i="1"/>
  <c r="AB161" i="1"/>
  <c r="J161" i="1"/>
  <c r="AL161" i="1" s="1"/>
  <c r="I161" i="1"/>
  <c r="BJ160" i="1"/>
  <c r="BF160" i="1"/>
  <c r="BD160" i="1"/>
  <c r="AP160" i="1"/>
  <c r="AO160" i="1"/>
  <c r="BH160" i="1" s="1"/>
  <c r="AK160" i="1"/>
  <c r="AJ160" i="1"/>
  <c r="AH160" i="1"/>
  <c r="AG160" i="1"/>
  <c r="AF160" i="1"/>
  <c r="AE160" i="1"/>
  <c r="AD160" i="1"/>
  <c r="AC160" i="1"/>
  <c r="AB160" i="1"/>
  <c r="Z160" i="1"/>
  <c r="J160" i="1"/>
  <c r="AL160" i="1" s="1"/>
  <c r="BJ159" i="1"/>
  <c r="Z159" i="1" s="1"/>
  <c r="BF159" i="1"/>
  <c r="BD159" i="1"/>
  <c r="AP159" i="1"/>
  <c r="BI159" i="1" s="1"/>
  <c r="AO159" i="1"/>
  <c r="BH159" i="1" s="1"/>
  <c r="AK159" i="1"/>
  <c r="AJ159" i="1"/>
  <c r="AH159" i="1"/>
  <c r="AG159" i="1"/>
  <c r="AF159" i="1"/>
  <c r="AE159" i="1"/>
  <c r="AD159" i="1"/>
  <c r="AC159" i="1"/>
  <c r="AB159" i="1"/>
  <c r="J159" i="1"/>
  <c r="AL159" i="1" s="1"/>
  <c r="BJ158" i="1"/>
  <c r="Z158" i="1" s="1"/>
  <c r="BF158" i="1"/>
  <c r="BD158" i="1"/>
  <c r="AW158" i="1"/>
  <c r="AP158" i="1"/>
  <c r="BI158" i="1" s="1"/>
  <c r="AO158" i="1"/>
  <c r="BH158" i="1" s="1"/>
  <c r="AL158" i="1"/>
  <c r="AK158" i="1"/>
  <c r="AJ158" i="1"/>
  <c r="AH158" i="1"/>
  <c r="AG158" i="1"/>
  <c r="AF158" i="1"/>
  <c r="AE158" i="1"/>
  <c r="AD158" i="1"/>
  <c r="AC158" i="1"/>
  <c r="AB158" i="1"/>
  <c r="J158" i="1"/>
  <c r="I158" i="1"/>
  <c r="H158" i="1"/>
  <c r="BJ157" i="1"/>
  <c r="Z157" i="1" s="1"/>
  <c r="BF157" i="1"/>
  <c r="BD157" i="1"/>
  <c r="AP157" i="1"/>
  <c r="BI157" i="1" s="1"/>
  <c r="AO157" i="1"/>
  <c r="BH157" i="1" s="1"/>
  <c r="AK157" i="1"/>
  <c r="AJ157" i="1"/>
  <c r="AH157" i="1"/>
  <c r="AG157" i="1"/>
  <c r="AF157" i="1"/>
  <c r="AE157" i="1"/>
  <c r="AD157" i="1"/>
  <c r="AC157" i="1"/>
  <c r="AB157" i="1"/>
  <c r="J157" i="1"/>
  <c r="AL157" i="1" s="1"/>
  <c r="I157" i="1"/>
  <c r="BJ156" i="1"/>
  <c r="Z156" i="1" s="1"/>
  <c r="BF156" i="1"/>
  <c r="BD156" i="1"/>
  <c r="AP156" i="1"/>
  <c r="AO156" i="1"/>
  <c r="BH156" i="1" s="1"/>
  <c r="AK156" i="1"/>
  <c r="AJ156" i="1"/>
  <c r="AH156" i="1"/>
  <c r="AG156" i="1"/>
  <c r="AF156" i="1"/>
  <c r="AE156" i="1"/>
  <c r="AD156" i="1"/>
  <c r="AC156" i="1"/>
  <c r="AB156" i="1"/>
  <c r="J156" i="1"/>
  <c r="AL156" i="1" s="1"/>
  <c r="BJ154" i="1"/>
  <c r="BF154" i="1"/>
  <c r="BD154" i="1"/>
  <c r="AX154" i="1"/>
  <c r="AP154" i="1"/>
  <c r="BI154" i="1" s="1"/>
  <c r="AC154" i="1" s="1"/>
  <c r="AO154" i="1"/>
  <c r="BH154" i="1" s="1"/>
  <c r="AB154" i="1" s="1"/>
  <c r="AK154" i="1"/>
  <c r="AJ154" i="1"/>
  <c r="AH154" i="1"/>
  <c r="AG154" i="1"/>
  <c r="AF154" i="1"/>
  <c r="AE154" i="1"/>
  <c r="AD154" i="1"/>
  <c r="Z154" i="1"/>
  <c r="J154" i="1"/>
  <c r="AL154" i="1" s="1"/>
  <c r="I154" i="1"/>
  <c r="BJ153" i="1"/>
  <c r="BF153" i="1"/>
  <c r="BD153" i="1"/>
  <c r="AP153" i="1"/>
  <c r="AO153" i="1"/>
  <c r="BH153" i="1" s="1"/>
  <c r="AB153" i="1" s="1"/>
  <c r="AK153" i="1"/>
  <c r="AJ153" i="1"/>
  <c r="AH153" i="1"/>
  <c r="AG153" i="1"/>
  <c r="AF153" i="1"/>
  <c r="AE153" i="1"/>
  <c r="AD153" i="1"/>
  <c r="Z153" i="1"/>
  <c r="J153" i="1"/>
  <c r="AL153" i="1" s="1"/>
  <c r="BJ152" i="1"/>
  <c r="BF152" i="1"/>
  <c r="BD152" i="1"/>
  <c r="AP152" i="1"/>
  <c r="BI152" i="1" s="1"/>
  <c r="AC152" i="1" s="1"/>
  <c r="AO152" i="1"/>
  <c r="BH152" i="1" s="1"/>
  <c r="AK152" i="1"/>
  <c r="AJ152" i="1"/>
  <c r="AH152" i="1"/>
  <c r="AG152" i="1"/>
  <c r="AF152" i="1"/>
  <c r="AE152" i="1"/>
  <c r="AD152" i="1"/>
  <c r="AB152" i="1"/>
  <c r="Z152" i="1"/>
  <c r="J152" i="1"/>
  <c r="AL152" i="1" s="1"/>
  <c r="H152" i="1"/>
  <c r="BJ151" i="1"/>
  <c r="BF151" i="1"/>
  <c r="BD151" i="1"/>
  <c r="AP151" i="1"/>
  <c r="BI151" i="1" s="1"/>
  <c r="AO151" i="1"/>
  <c r="AL151" i="1"/>
  <c r="AK151" i="1"/>
  <c r="AJ151" i="1"/>
  <c r="AH151" i="1"/>
  <c r="AG151" i="1"/>
  <c r="AF151" i="1"/>
  <c r="AE151" i="1"/>
  <c r="AD151" i="1"/>
  <c r="AC151" i="1"/>
  <c r="Z151" i="1"/>
  <c r="J151" i="1"/>
  <c r="I151" i="1"/>
  <c r="BJ150" i="1"/>
  <c r="BF150" i="1"/>
  <c r="BD150" i="1"/>
  <c r="AP150" i="1"/>
  <c r="BI150" i="1" s="1"/>
  <c r="AC150" i="1" s="1"/>
  <c r="AO150" i="1"/>
  <c r="BH150" i="1" s="1"/>
  <c r="AB150" i="1" s="1"/>
  <c r="AK150" i="1"/>
  <c r="AJ150" i="1"/>
  <c r="AH150" i="1"/>
  <c r="AG150" i="1"/>
  <c r="AF150" i="1"/>
  <c r="AE150" i="1"/>
  <c r="AD150" i="1"/>
  <c r="Z150" i="1"/>
  <c r="J150" i="1"/>
  <c r="AL150" i="1" s="1"/>
  <c r="I150" i="1"/>
  <c r="BJ149" i="1"/>
  <c r="BF149" i="1"/>
  <c r="BD149" i="1"/>
  <c r="AP149" i="1"/>
  <c r="AO149" i="1"/>
  <c r="BH149" i="1" s="1"/>
  <c r="AB149" i="1" s="1"/>
  <c r="AK149" i="1"/>
  <c r="AJ149" i="1"/>
  <c r="AH149" i="1"/>
  <c r="AG149" i="1"/>
  <c r="AF149" i="1"/>
  <c r="AE149" i="1"/>
  <c r="AD149" i="1"/>
  <c r="Z149" i="1"/>
  <c r="J149" i="1"/>
  <c r="AL149" i="1" s="1"/>
  <c r="BJ148" i="1"/>
  <c r="BF148" i="1"/>
  <c r="BD148" i="1"/>
  <c r="AP148" i="1"/>
  <c r="BI148" i="1" s="1"/>
  <c r="AC148" i="1" s="1"/>
  <c r="AO148" i="1"/>
  <c r="AK148" i="1"/>
  <c r="AJ148" i="1"/>
  <c r="AH148" i="1"/>
  <c r="AG148" i="1"/>
  <c r="AF148" i="1"/>
  <c r="AE148" i="1"/>
  <c r="AD148" i="1"/>
  <c r="Z148" i="1"/>
  <c r="J148" i="1"/>
  <c r="AL148" i="1" s="1"/>
  <c r="BJ147" i="1"/>
  <c r="BF147" i="1"/>
  <c r="BD147" i="1"/>
  <c r="AW147" i="1"/>
  <c r="AP147" i="1"/>
  <c r="BI147" i="1" s="1"/>
  <c r="AC147" i="1" s="1"/>
  <c r="AO147" i="1"/>
  <c r="BH147" i="1" s="1"/>
  <c r="AB147" i="1" s="1"/>
  <c r="AK147" i="1"/>
  <c r="AJ147" i="1"/>
  <c r="AH147" i="1"/>
  <c r="AG147" i="1"/>
  <c r="AF147" i="1"/>
  <c r="AE147" i="1"/>
  <c r="AD147" i="1"/>
  <c r="Z147" i="1"/>
  <c r="J147" i="1"/>
  <c r="AL147" i="1" s="1"/>
  <c r="I147" i="1"/>
  <c r="H147" i="1"/>
  <c r="BJ146" i="1"/>
  <c r="BF146" i="1"/>
  <c r="BD146" i="1"/>
  <c r="AX146" i="1"/>
  <c r="AP146" i="1"/>
  <c r="BI146" i="1" s="1"/>
  <c r="AC146" i="1" s="1"/>
  <c r="AO146" i="1"/>
  <c r="BH146" i="1" s="1"/>
  <c r="AB146" i="1" s="1"/>
  <c r="AK146" i="1"/>
  <c r="AJ146" i="1"/>
  <c r="AH146" i="1"/>
  <c r="AG146" i="1"/>
  <c r="AF146" i="1"/>
  <c r="AE146" i="1"/>
  <c r="AD146" i="1"/>
  <c r="Z146" i="1"/>
  <c r="J146" i="1"/>
  <c r="I146" i="1"/>
  <c r="BJ145" i="1"/>
  <c r="BF145" i="1"/>
  <c r="BD145" i="1"/>
  <c r="AP145" i="1"/>
  <c r="AO145" i="1"/>
  <c r="BH145" i="1" s="1"/>
  <c r="AB145" i="1" s="1"/>
  <c r="AK145" i="1"/>
  <c r="AJ145" i="1"/>
  <c r="AH145" i="1"/>
  <c r="AG145" i="1"/>
  <c r="AF145" i="1"/>
  <c r="AE145" i="1"/>
  <c r="AD145" i="1"/>
  <c r="Z145" i="1"/>
  <c r="J145" i="1"/>
  <c r="AL145" i="1" s="1"/>
  <c r="BJ144" i="1"/>
  <c r="BF144" i="1"/>
  <c r="BD144" i="1"/>
  <c r="AP144" i="1"/>
  <c r="BI144" i="1" s="1"/>
  <c r="AC144" i="1" s="1"/>
  <c r="AO144" i="1"/>
  <c r="BH144" i="1" s="1"/>
  <c r="AK144" i="1"/>
  <c r="AJ144" i="1"/>
  <c r="AH144" i="1"/>
  <c r="AG144" i="1"/>
  <c r="AF144" i="1"/>
  <c r="AE144" i="1"/>
  <c r="AD144" i="1"/>
  <c r="AB144" i="1"/>
  <c r="Z144" i="1"/>
  <c r="J144" i="1"/>
  <c r="AL144" i="1" s="1"/>
  <c r="H144" i="1"/>
  <c r="BJ143" i="1"/>
  <c r="BF143" i="1"/>
  <c r="BD143" i="1"/>
  <c r="AP143" i="1"/>
  <c r="BI143" i="1" s="1"/>
  <c r="AC143" i="1" s="1"/>
  <c r="AO143" i="1"/>
  <c r="BH143" i="1" s="1"/>
  <c r="AB143" i="1" s="1"/>
  <c r="AK143" i="1"/>
  <c r="AT142" i="1" s="1"/>
  <c r="AJ143" i="1"/>
  <c r="AH143" i="1"/>
  <c r="AG143" i="1"/>
  <c r="AF143" i="1"/>
  <c r="AE143" i="1"/>
  <c r="AD143" i="1"/>
  <c r="Z143" i="1"/>
  <c r="J143" i="1"/>
  <c r="AL143" i="1" s="1"/>
  <c r="I143" i="1"/>
  <c r="H143" i="1"/>
  <c r="BJ141" i="1"/>
  <c r="BF141" i="1"/>
  <c r="BD141" i="1"/>
  <c r="AP141" i="1"/>
  <c r="BI141" i="1" s="1"/>
  <c r="AC141" i="1" s="1"/>
  <c r="AO141" i="1"/>
  <c r="BH141" i="1" s="1"/>
  <c r="AK141" i="1"/>
  <c r="AJ141" i="1"/>
  <c r="AH141" i="1"/>
  <c r="AG141" i="1"/>
  <c r="AF141" i="1"/>
  <c r="AE141" i="1"/>
  <c r="AD141" i="1"/>
  <c r="AB141" i="1"/>
  <c r="Z141" i="1"/>
  <c r="J141" i="1"/>
  <c r="AL141" i="1" s="1"/>
  <c r="H141" i="1"/>
  <c r="BJ140" i="1"/>
  <c r="BF140" i="1"/>
  <c r="BD140" i="1"/>
  <c r="AP140" i="1"/>
  <c r="BI140" i="1" s="1"/>
  <c r="AO140" i="1"/>
  <c r="BH140" i="1" s="1"/>
  <c r="AB140" i="1" s="1"/>
  <c r="AL140" i="1"/>
  <c r="AK140" i="1"/>
  <c r="AJ140" i="1"/>
  <c r="AH140" i="1"/>
  <c r="AG140" i="1"/>
  <c r="AF140" i="1"/>
  <c r="AE140" i="1"/>
  <c r="AD140" i="1"/>
  <c r="AC140" i="1"/>
  <c r="Z140" i="1"/>
  <c r="J140" i="1"/>
  <c r="I140" i="1"/>
  <c r="H140" i="1"/>
  <c r="BJ139" i="1"/>
  <c r="BH139" i="1"/>
  <c r="AB139" i="1" s="1"/>
  <c r="BF139" i="1"/>
  <c r="BD139" i="1"/>
  <c r="AX139" i="1"/>
  <c r="AP139" i="1"/>
  <c r="BI139" i="1" s="1"/>
  <c r="AC139" i="1" s="1"/>
  <c r="AO139" i="1"/>
  <c r="AK139" i="1"/>
  <c r="AJ139" i="1"/>
  <c r="AH139" i="1"/>
  <c r="AG139" i="1"/>
  <c r="AF139" i="1"/>
  <c r="AE139" i="1"/>
  <c r="AD139" i="1"/>
  <c r="Z139" i="1"/>
  <c r="J139" i="1"/>
  <c r="AL139" i="1" s="1"/>
  <c r="I139" i="1"/>
  <c r="BJ138" i="1"/>
  <c r="BF138" i="1"/>
  <c r="BD138" i="1"/>
  <c r="AP138" i="1"/>
  <c r="AO138" i="1"/>
  <c r="BH138" i="1" s="1"/>
  <c r="AB138" i="1" s="1"/>
  <c r="AK138" i="1"/>
  <c r="AJ138" i="1"/>
  <c r="AH138" i="1"/>
  <c r="AG138" i="1"/>
  <c r="AF138" i="1"/>
  <c r="AE138" i="1"/>
  <c r="AD138" i="1"/>
  <c r="Z138" i="1"/>
  <c r="J138" i="1"/>
  <c r="AL138" i="1" s="1"/>
  <c r="BJ137" i="1"/>
  <c r="BF137" i="1"/>
  <c r="BD137" i="1"/>
  <c r="AP137" i="1"/>
  <c r="BI137" i="1" s="1"/>
  <c r="AC137" i="1" s="1"/>
  <c r="AO137" i="1"/>
  <c r="BH137" i="1" s="1"/>
  <c r="AB137" i="1" s="1"/>
  <c r="AK137" i="1"/>
  <c r="AJ137" i="1"/>
  <c r="AH137" i="1"/>
  <c r="AG137" i="1"/>
  <c r="AF137" i="1"/>
  <c r="AE137" i="1"/>
  <c r="AD137" i="1"/>
  <c r="Z137" i="1"/>
  <c r="J137" i="1"/>
  <c r="AL137" i="1" s="1"/>
  <c r="H137" i="1"/>
  <c r="BJ136" i="1"/>
  <c r="BF136" i="1"/>
  <c r="BD136" i="1"/>
  <c r="AP136" i="1"/>
  <c r="BI136" i="1" s="1"/>
  <c r="AC136" i="1" s="1"/>
  <c r="AO136" i="1"/>
  <c r="AK136" i="1"/>
  <c r="AJ136" i="1"/>
  <c r="AH136" i="1"/>
  <c r="AG136" i="1"/>
  <c r="AF136" i="1"/>
  <c r="AE136" i="1"/>
  <c r="AD136" i="1"/>
  <c r="Z136" i="1"/>
  <c r="J136" i="1"/>
  <c r="AL136" i="1" s="1"/>
  <c r="I136" i="1"/>
  <c r="BJ135" i="1"/>
  <c r="BF135" i="1"/>
  <c r="BD135" i="1"/>
  <c r="AP135" i="1"/>
  <c r="BI135" i="1" s="1"/>
  <c r="AC135" i="1" s="1"/>
  <c r="AO135" i="1"/>
  <c r="BH135" i="1" s="1"/>
  <c r="AB135" i="1" s="1"/>
  <c r="AK135" i="1"/>
  <c r="AJ135" i="1"/>
  <c r="AH135" i="1"/>
  <c r="AG135" i="1"/>
  <c r="AF135" i="1"/>
  <c r="AE135" i="1"/>
  <c r="AD135" i="1"/>
  <c r="Z135" i="1"/>
  <c r="J135" i="1"/>
  <c r="AL135" i="1" s="1"/>
  <c r="BJ134" i="1"/>
  <c r="BF134" i="1"/>
  <c r="BD134" i="1"/>
  <c r="AP134" i="1"/>
  <c r="AO134" i="1"/>
  <c r="BH134" i="1" s="1"/>
  <c r="AB134" i="1" s="1"/>
  <c r="AK134" i="1"/>
  <c r="AJ134" i="1"/>
  <c r="AH134" i="1"/>
  <c r="AG134" i="1"/>
  <c r="AF134" i="1"/>
  <c r="AE134" i="1"/>
  <c r="AD134" i="1"/>
  <c r="Z134" i="1"/>
  <c r="J134" i="1"/>
  <c r="AL134" i="1" s="1"/>
  <c r="BJ133" i="1"/>
  <c r="BF133" i="1"/>
  <c r="BD133" i="1"/>
  <c r="AP133" i="1"/>
  <c r="BI133" i="1" s="1"/>
  <c r="AC133" i="1" s="1"/>
  <c r="AO133" i="1"/>
  <c r="BH133" i="1" s="1"/>
  <c r="AB133" i="1" s="1"/>
  <c r="AK133" i="1"/>
  <c r="AJ133" i="1"/>
  <c r="AH133" i="1"/>
  <c r="AG133" i="1"/>
  <c r="AF133" i="1"/>
  <c r="AE133" i="1"/>
  <c r="AD133" i="1"/>
  <c r="Z133" i="1"/>
  <c r="J133" i="1"/>
  <c r="AL133" i="1" s="1"/>
  <c r="H133" i="1"/>
  <c r="BJ132" i="1"/>
  <c r="BF132" i="1"/>
  <c r="BD132" i="1"/>
  <c r="AP132" i="1"/>
  <c r="BI132" i="1" s="1"/>
  <c r="AC132" i="1" s="1"/>
  <c r="AO132" i="1"/>
  <c r="BH132" i="1" s="1"/>
  <c r="AB132" i="1" s="1"/>
  <c r="AL132" i="1"/>
  <c r="AK132" i="1"/>
  <c r="AJ132" i="1"/>
  <c r="AH132" i="1"/>
  <c r="AG132" i="1"/>
  <c r="AF132" i="1"/>
  <c r="AE132" i="1"/>
  <c r="AD132" i="1"/>
  <c r="Z132" i="1"/>
  <c r="J132" i="1"/>
  <c r="I132" i="1"/>
  <c r="H132" i="1"/>
  <c r="BJ131" i="1"/>
  <c r="BF131" i="1"/>
  <c r="BD131" i="1"/>
  <c r="AP131" i="1"/>
  <c r="AO131" i="1"/>
  <c r="BH131" i="1" s="1"/>
  <c r="AB131" i="1" s="1"/>
  <c r="AK131" i="1"/>
  <c r="AJ131" i="1"/>
  <c r="AH131" i="1"/>
  <c r="AG131" i="1"/>
  <c r="AF131" i="1"/>
  <c r="AE131" i="1"/>
  <c r="AD131" i="1"/>
  <c r="Z131" i="1"/>
  <c r="J131" i="1"/>
  <c r="AL131" i="1" s="1"/>
  <c r="BJ130" i="1"/>
  <c r="BF130" i="1"/>
  <c r="BD130" i="1"/>
  <c r="AP130" i="1"/>
  <c r="AO130" i="1"/>
  <c r="BH130" i="1" s="1"/>
  <c r="AB130" i="1" s="1"/>
  <c r="AK130" i="1"/>
  <c r="AJ130" i="1"/>
  <c r="AH130" i="1"/>
  <c r="AG130" i="1"/>
  <c r="AF130" i="1"/>
  <c r="AE130" i="1"/>
  <c r="AD130" i="1"/>
  <c r="Z130" i="1"/>
  <c r="J130" i="1"/>
  <c r="AL130" i="1" s="1"/>
  <c r="BJ129" i="1"/>
  <c r="BF129" i="1"/>
  <c r="BD129" i="1"/>
  <c r="AP129" i="1"/>
  <c r="BI129" i="1" s="1"/>
  <c r="AC129" i="1" s="1"/>
  <c r="AO129" i="1"/>
  <c r="BH129" i="1" s="1"/>
  <c r="AK129" i="1"/>
  <c r="AJ129" i="1"/>
  <c r="AH129" i="1"/>
  <c r="AG129" i="1"/>
  <c r="AF129" i="1"/>
  <c r="AE129" i="1"/>
  <c r="AD129" i="1"/>
  <c r="AB129" i="1"/>
  <c r="Z129" i="1"/>
  <c r="J129" i="1"/>
  <c r="AL129" i="1" s="1"/>
  <c r="H129" i="1"/>
  <c r="BJ128" i="1"/>
  <c r="BF128" i="1"/>
  <c r="BD128" i="1"/>
  <c r="AW128" i="1"/>
  <c r="AP128" i="1"/>
  <c r="BI128" i="1" s="1"/>
  <c r="AC128" i="1" s="1"/>
  <c r="AO128" i="1"/>
  <c r="BH128" i="1" s="1"/>
  <c r="AB128" i="1" s="1"/>
  <c r="AL128" i="1"/>
  <c r="AK128" i="1"/>
  <c r="AJ128" i="1"/>
  <c r="AH128" i="1"/>
  <c r="AG128" i="1"/>
  <c r="AF128" i="1"/>
  <c r="AE128" i="1"/>
  <c r="AD128" i="1"/>
  <c r="Z128" i="1"/>
  <c r="J128" i="1"/>
  <c r="H128" i="1"/>
  <c r="BJ127" i="1"/>
  <c r="BF127" i="1"/>
  <c r="BD127" i="1"/>
  <c r="AP127" i="1"/>
  <c r="BI127" i="1" s="1"/>
  <c r="AC127" i="1" s="1"/>
  <c r="AO127" i="1"/>
  <c r="AK127" i="1"/>
  <c r="AJ127" i="1"/>
  <c r="AH127" i="1"/>
  <c r="AG127" i="1"/>
  <c r="AF127" i="1"/>
  <c r="AE127" i="1"/>
  <c r="AD127" i="1"/>
  <c r="Z127" i="1"/>
  <c r="J127" i="1"/>
  <c r="AL127" i="1" s="1"/>
  <c r="BJ126" i="1"/>
  <c r="BF126" i="1"/>
  <c r="BD126" i="1"/>
  <c r="AP126" i="1"/>
  <c r="AO126" i="1"/>
  <c r="BH126" i="1" s="1"/>
  <c r="AB126" i="1" s="1"/>
  <c r="AK126" i="1"/>
  <c r="AJ126" i="1"/>
  <c r="AH126" i="1"/>
  <c r="AG126" i="1"/>
  <c r="AF126" i="1"/>
  <c r="AE126" i="1"/>
  <c r="AD126" i="1"/>
  <c r="Z126" i="1"/>
  <c r="J126" i="1"/>
  <c r="AL126" i="1" s="1"/>
  <c r="BJ125" i="1"/>
  <c r="BF125" i="1"/>
  <c r="BD125" i="1"/>
  <c r="AP125" i="1"/>
  <c r="BI125" i="1" s="1"/>
  <c r="AC125" i="1" s="1"/>
  <c r="AO125" i="1"/>
  <c r="AK125" i="1"/>
  <c r="AJ125" i="1"/>
  <c r="AH125" i="1"/>
  <c r="AG125" i="1"/>
  <c r="AF125" i="1"/>
  <c r="AE125" i="1"/>
  <c r="AD125" i="1"/>
  <c r="Z125" i="1"/>
  <c r="J125" i="1"/>
  <c r="AL125" i="1" s="1"/>
  <c r="BJ124" i="1"/>
  <c r="BF124" i="1"/>
  <c r="BD124" i="1"/>
  <c r="AW124" i="1"/>
  <c r="AP124" i="1"/>
  <c r="BI124" i="1" s="1"/>
  <c r="AO124" i="1"/>
  <c r="BH124" i="1" s="1"/>
  <c r="AB124" i="1" s="1"/>
  <c r="AK124" i="1"/>
  <c r="AJ124" i="1"/>
  <c r="AH124" i="1"/>
  <c r="AG124" i="1"/>
  <c r="AF124" i="1"/>
  <c r="AE124" i="1"/>
  <c r="AD124" i="1"/>
  <c r="AC124" i="1"/>
  <c r="Z124" i="1"/>
  <c r="J124" i="1"/>
  <c r="AL124" i="1" s="1"/>
  <c r="H124" i="1"/>
  <c r="BJ123" i="1"/>
  <c r="BF123" i="1"/>
  <c r="BD123" i="1"/>
  <c r="AP123" i="1"/>
  <c r="AO123" i="1"/>
  <c r="BH123" i="1" s="1"/>
  <c r="AB123" i="1" s="1"/>
  <c r="AK123" i="1"/>
  <c r="AJ123" i="1"/>
  <c r="AH123" i="1"/>
  <c r="AG123" i="1"/>
  <c r="AF123" i="1"/>
  <c r="AE123" i="1"/>
  <c r="AD123" i="1"/>
  <c r="Z123" i="1"/>
  <c r="J123" i="1"/>
  <c r="AL123" i="1" s="1"/>
  <c r="BJ122" i="1"/>
  <c r="BF122" i="1"/>
  <c r="BD122" i="1"/>
  <c r="AP122" i="1"/>
  <c r="AO122" i="1"/>
  <c r="BH122" i="1" s="1"/>
  <c r="AB122" i="1" s="1"/>
  <c r="AK122" i="1"/>
  <c r="AJ122" i="1"/>
  <c r="AH122" i="1"/>
  <c r="AG122" i="1"/>
  <c r="AF122" i="1"/>
  <c r="AE122" i="1"/>
  <c r="AD122" i="1"/>
  <c r="Z122" i="1"/>
  <c r="J122" i="1"/>
  <c r="AL122" i="1" s="1"/>
  <c r="BJ121" i="1"/>
  <c r="BF121" i="1"/>
  <c r="BD121" i="1"/>
  <c r="AP121" i="1"/>
  <c r="BI121" i="1" s="1"/>
  <c r="AC121" i="1" s="1"/>
  <c r="AO121" i="1"/>
  <c r="BH121" i="1" s="1"/>
  <c r="AK121" i="1"/>
  <c r="AJ121" i="1"/>
  <c r="AH121" i="1"/>
  <c r="AG121" i="1"/>
  <c r="AF121" i="1"/>
  <c r="AE121" i="1"/>
  <c r="AD121" i="1"/>
  <c r="AB121" i="1"/>
  <c r="Z121" i="1"/>
  <c r="J121" i="1"/>
  <c r="AL121" i="1" s="1"/>
  <c r="BJ120" i="1"/>
  <c r="BF120" i="1"/>
  <c r="BD120" i="1"/>
  <c r="AW120" i="1"/>
  <c r="AP120" i="1"/>
  <c r="BI120" i="1" s="1"/>
  <c r="AC120" i="1" s="1"/>
  <c r="AO120" i="1"/>
  <c r="BH120" i="1" s="1"/>
  <c r="AL120" i="1"/>
  <c r="AK120" i="1"/>
  <c r="AJ120" i="1"/>
  <c r="AH120" i="1"/>
  <c r="AG120" i="1"/>
  <c r="AF120" i="1"/>
  <c r="AE120" i="1"/>
  <c r="AD120" i="1"/>
  <c r="AB120" i="1"/>
  <c r="Z120" i="1"/>
  <c r="J120" i="1"/>
  <c r="I120" i="1"/>
  <c r="H120" i="1"/>
  <c r="BJ119" i="1"/>
  <c r="BF119" i="1"/>
  <c r="BD119" i="1"/>
  <c r="AP119" i="1"/>
  <c r="BI119" i="1" s="1"/>
  <c r="AC119" i="1" s="1"/>
  <c r="AO119" i="1"/>
  <c r="H119" i="1" s="1"/>
  <c r="AK119" i="1"/>
  <c r="AJ119" i="1"/>
  <c r="AH119" i="1"/>
  <c r="AG119" i="1"/>
  <c r="AF119" i="1"/>
  <c r="AE119" i="1"/>
  <c r="AD119" i="1"/>
  <c r="Z119" i="1"/>
  <c r="J119" i="1"/>
  <c r="AL119" i="1" s="1"/>
  <c r="BJ118" i="1"/>
  <c r="BF118" i="1"/>
  <c r="BD118" i="1"/>
  <c r="AX118" i="1"/>
  <c r="AP118" i="1"/>
  <c r="I118" i="1" s="1"/>
  <c r="AO118" i="1"/>
  <c r="BH118" i="1" s="1"/>
  <c r="AB118" i="1" s="1"/>
  <c r="AK118" i="1"/>
  <c r="AJ118" i="1"/>
  <c r="AH118" i="1"/>
  <c r="AG118" i="1"/>
  <c r="AF118" i="1"/>
  <c r="AE118" i="1"/>
  <c r="AD118" i="1"/>
  <c r="Z118" i="1"/>
  <c r="J118" i="1"/>
  <c r="AL118" i="1" s="1"/>
  <c r="BJ117" i="1"/>
  <c r="BF117" i="1"/>
  <c r="BD117" i="1"/>
  <c r="AP117" i="1"/>
  <c r="AO117" i="1"/>
  <c r="AK117" i="1"/>
  <c r="AJ117" i="1"/>
  <c r="AH117" i="1"/>
  <c r="AG117" i="1"/>
  <c r="AF117" i="1"/>
  <c r="AE117" i="1"/>
  <c r="AD117" i="1"/>
  <c r="Z117" i="1"/>
  <c r="J117" i="1"/>
  <c r="AL117" i="1" s="1"/>
  <c r="BJ116" i="1"/>
  <c r="BF116" i="1"/>
  <c r="BD116" i="1"/>
  <c r="AP116" i="1"/>
  <c r="BI116" i="1" s="1"/>
  <c r="AC116" i="1" s="1"/>
  <c r="AO116" i="1"/>
  <c r="BH116" i="1" s="1"/>
  <c r="AB116" i="1" s="1"/>
  <c r="AK116" i="1"/>
  <c r="AJ116" i="1"/>
  <c r="AH116" i="1"/>
  <c r="AG116" i="1"/>
  <c r="AF116" i="1"/>
  <c r="AE116" i="1"/>
  <c r="AD116" i="1"/>
  <c r="Z116" i="1"/>
  <c r="J116" i="1"/>
  <c r="AL116" i="1" s="1"/>
  <c r="I116" i="1"/>
  <c r="H116" i="1"/>
  <c r="BJ115" i="1"/>
  <c r="BF115" i="1"/>
  <c r="BD115" i="1"/>
  <c r="AP115" i="1"/>
  <c r="BI115" i="1" s="1"/>
  <c r="AC115" i="1" s="1"/>
  <c r="AO115" i="1"/>
  <c r="AK115" i="1"/>
  <c r="AJ115" i="1"/>
  <c r="AH115" i="1"/>
  <c r="AG115" i="1"/>
  <c r="AF115" i="1"/>
  <c r="AE115" i="1"/>
  <c r="AD115" i="1"/>
  <c r="Z115" i="1"/>
  <c r="J115" i="1"/>
  <c r="AL115" i="1" s="1"/>
  <c r="I115" i="1"/>
  <c r="BJ114" i="1"/>
  <c r="BF114" i="1"/>
  <c r="BD114" i="1"/>
  <c r="AP114" i="1"/>
  <c r="I114" i="1" s="1"/>
  <c r="AO114" i="1"/>
  <c r="BH114" i="1" s="1"/>
  <c r="AB114" i="1" s="1"/>
  <c r="AK114" i="1"/>
  <c r="AJ114" i="1"/>
  <c r="AH114" i="1"/>
  <c r="AG114" i="1"/>
  <c r="AF114" i="1"/>
  <c r="AE114" i="1"/>
  <c r="AD114" i="1"/>
  <c r="Z114" i="1"/>
  <c r="J114" i="1"/>
  <c r="AL114" i="1" s="1"/>
  <c r="BJ113" i="1"/>
  <c r="BF113" i="1"/>
  <c r="BD113" i="1"/>
  <c r="AP113" i="1"/>
  <c r="BI113" i="1" s="1"/>
  <c r="AC113" i="1" s="1"/>
  <c r="AO113" i="1"/>
  <c r="AK113" i="1"/>
  <c r="AJ113" i="1"/>
  <c r="AH113" i="1"/>
  <c r="AG113" i="1"/>
  <c r="AF113" i="1"/>
  <c r="AE113" i="1"/>
  <c r="AD113" i="1"/>
  <c r="Z113" i="1"/>
  <c r="J113" i="1"/>
  <c r="AL113" i="1" s="1"/>
  <c r="BJ112" i="1"/>
  <c r="BF112" i="1"/>
  <c r="BD112" i="1"/>
  <c r="AW112" i="1"/>
  <c r="AP112" i="1"/>
  <c r="I112" i="1" s="1"/>
  <c r="AO112" i="1"/>
  <c r="BH112" i="1" s="1"/>
  <c r="AB112" i="1" s="1"/>
  <c r="AK112" i="1"/>
  <c r="AJ112" i="1"/>
  <c r="AH112" i="1"/>
  <c r="AG112" i="1"/>
  <c r="AF112" i="1"/>
  <c r="AE112" i="1"/>
  <c r="AD112" i="1"/>
  <c r="Z112" i="1"/>
  <c r="J112" i="1"/>
  <c r="AL112" i="1" s="1"/>
  <c r="H112" i="1"/>
  <c r="BJ111" i="1"/>
  <c r="BH111" i="1"/>
  <c r="AB111" i="1" s="1"/>
  <c r="BF111" i="1"/>
  <c r="BD111" i="1"/>
  <c r="AW111" i="1"/>
  <c r="AP111" i="1"/>
  <c r="AO111" i="1"/>
  <c r="AL111" i="1"/>
  <c r="AK111" i="1"/>
  <c r="AJ111" i="1"/>
  <c r="AH111" i="1"/>
  <c r="AG111" i="1"/>
  <c r="AF111" i="1"/>
  <c r="AE111" i="1"/>
  <c r="AD111" i="1"/>
  <c r="Z111" i="1"/>
  <c r="J111" i="1"/>
  <c r="J110" i="1" s="1"/>
  <c r="H111" i="1"/>
  <c r="BJ109" i="1"/>
  <c r="BF109" i="1"/>
  <c r="BD109" i="1"/>
  <c r="AP109" i="1"/>
  <c r="AX109" i="1" s="1"/>
  <c r="AO109" i="1"/>
  <c r="BH109" i="1" s="1"/>
  <c r="AB109" i="1" s="1"/>
  <c r="AL109" i="1"/>
  <c r="AK109" i="1"/>
  <c r="AJ109" i="1"/>
  <c r="AH109" i="1"/>
  <c r="AG109" i="1"/>
  <c r="AF109" i="1"/>
  <c r="AE109" i="1"/>
  <c r="AD109" i="1"/>
  <c r="Z109" i="1"/>
  <c r="J109" i="1"/>
  <c r="H109" i="1"/>
  <c r="BJ108" i="1"/>
  <c r="BF108" i="1"/>
  <c r="BD108" i="1"/>
  <c r="AX108" i="1"/>
  <c r="AP108" i="1"/>
  <c r="BI108" i="1" s="1"/>
  <c r="AC108" i="1" s="1"/>
  <c r="AO108" i="1"/>
  <c r="H108" i="1" s="1"/>
  <c r="AK108" i="1"/>
  <c r="AJ108" i="1"/>
  <c r="AH108" i="1"/>
  <c r="AG108" i="1"/>
  <c r="AF108" i="1"/>
  <c r="AE108" i="1"/>
  <c r="AD108" i="1"/>
  <c r="Z108" i="1"/>
  <c r="J108" i="1"/>
  <c r="AL108" i="1" s="1"/>
  <c r="I108" i="1"/>
  <c r="BJ107" i="1"/>
  <c r="BF107" i="1"/>
  <c r="BD107" i="1"/>
  <c r="AP107" i="1"/>
  <c r="BI107" i="1" s="1"/>
  <c r="AC107" i="1" s="1"/>
  <c r="AO107" i="1"/>
  <c r="AK107" i="1"/>
  <c r="AJ107" i="1"/>
  <c r="AH107" i="1"/>
  <c r="AG107" i="1"/>
  <c r="AF107" i="1"/>
  <c r="AE107" i="1"/>
  <c r="AD107" i="1"/>
  <c r="Z107" i="1"/>
  <c r="J107" i="1"/>
  <c r="AL107" i="1" s="1"/>
  <c r="BJ106" i="1"/>
  <c r="BF106" i="1"/>
  <c r="BD106" i="1"/>
  <c r="AX106" i="1"/>
  <c r="AP106" i="1"/>
  <c r="I106" i="1" s="1"/>
  <c r="AO106" i="1"/>
  <c r="AK106" i="1"/>
  <c r="AJ106" i="1"/>
  <c r="AH106" i="1"/>
  <c r="AG106" i="1"/>
  <c r="AF106" i="1"/>
  <c r="AE106" i="1"/>
  <c r="AD106" i="1"/>
  <c r="Z106" i="1"/>
  <c r="J106" i="1"/>
  <c r="AL106" i="1" s="1"/>
  <c r="H106" i="1"/>
  <c r="BJ105" i="1"/>
  <c r="BI105" i="1"/>
  <c r="AC105" i="1" s="1"/>
  <c r="BF105" i="1"/>
  <c r="BD105" i="1"/>
  <c r="AW105" i="1"/>
  <c r="AV105" i="1" s="1"/>
  <c r="AP105" i="1"/>
  <c r="AX105" i="1" s="1"/>
  <c r="AO105" i="1"/>
  <c r="BH105" i="1" s="1"/>
  <c r="AL105" i="1"/>
  <c r="AK105" i="1"/>
  <c r="AJ105" i="1"/>
  <c r="AH105" i="1"/>
  <c r="AG105" i="1"/>
  <c r="AF105" i="1"/>
  <c r="AE105" i="1"/>
  <c r="AD105" i="1"/>
  <c r="AB105" i="1"/>
  <c r="Z105" i="1"/>
  <c r="J105" i="1"/>
  <c r="I105" i="1"/>
  <c r="H105" i="1"/>
  <c r="BJ104" i="1"/>
  <c r="BF104" i="1"/>
  <c r="BD104" i="1"/>
  <c r="AX104" i="1"/>
  <c r="AP104" i="1"/>
  <c r="BI104" i="1" s="1"/>
  <c r="AC104" i="1" s="1"/>
  <c r="AO104" i="1"/>
  <c r="BH104" i="1" s="1"/>
  <c r="AB104" i="1" s="1"/>
  <c r="AK104" i="1"/>
  <c r="AT103" i="1" s="1"/>
  <c r="AJ104" i="1"/>
  <c r="AH104" i="1"/>
  <c r="AG104" i="1"/>
  <c r="AF104" i="1"/>
  <c r="AE104" i="1"/>
  <c r="AD104" i="1"/>
  <c r="Z104" i="1"/>
  <c r="J104" i="1"/>
  <c r="AL104" i="1" s="1"/>
  <c r="AU103" i="1" s="1"/>
  <c r="I104" i="1"/>
  <c r="H104" i="1"/>
  <c r="BJ102" i="1"/>
  <c r="BF102" i="1"/>
  <c r="BD102" i="1"/>
  <c r="AP102" i="1"/>
  <c r="AX102" i="1" s="1"/>
  <c r="AO102" i="1"/>
  <c r="BH102" i="1" s="1"/>
  <c r="AB102" i="1" s="1"/>
  <c r="AL102" i="1"/>
  <c r="AK102" i="1"/>
  <c r="AJ102" i="1"/>
  <c r="AH102" i="1"/>
  <c r="AG102" i="1"/>
  <c r="AF102" i="1"/>
  <c r="AE102" i="1"/>
  <c r="AD102" i="1"/>
  <c r="Z102" i="1"/>
  <c r="J102" i="1"/>
  <c r="BJ101" i="1"/>
  <c r="BF101" i="1"/>
  <c r="BD101" i="1"/>
  <c r="AP101" i="1"/>
  <c r="AO101" i="1"/>
  <c r="BH101" i="1" s="1"/>
  <c r="AB101" i="1" s="1"/>
  <c r="AK101" i="1"/>
  <c r="AJ101" i="1"/>
  <c r="AH101" i="1"/>
  <c r="AG101" i="1"/>
  <c r="AF101" i="1"/>
  <c r="AE101" i="1"/>
  <c r="AD101" i="1"/>
  <c r="Z101" i="1"/>
  <c r="J101" i="1"/>
  <c r="AL101" i="1" s="1"/>
  <c r="AS100" i="1"/>
  <c r="BJ99" i="1"/>
  <c r="BF99" i="1"/>
  <c r="BD99" i="1"/>
  <c r="AP99" i="1"/>
  <c r="AX99" i="1" s="1"/>
  <c r="AO99" i="1"/>
  <c r="BH99" i="1" s="1"/>
  <c r="AB99" i="1" s="1"/>
  <c r="AK99" i="1"/>
  <c r="AJ99" i="1"/>
  <c r="AH99" i="1"/>
  <c r="AG99" i="1"/>
  <c r="AF99" i="1"/>
  <c r="AE99" i="1"/>
  <c r="AD99" i="1"/>
  <c r="Z99" i="1"/>
  <c r="J99" i="1"/>
  <c r="AL99" i="1" s="1"/>
  <c r="I99" i="1"/>
  <c r="H99" i="1"/>
  <c r="BJ98" i="1"/>
  <c r="BF98" i="1"/>
  <c r="BD98" i="1"/>
  <c r="AX98" i="1"/>
  <c r="AP98" i="1"/>
  <c r="BI98" i="1" s="1"/>
  <c r="AC98" i="1" s="1"/>
  <c r="AO98" i="1"/>
  <c r="BH98" i="1" s="1"/>
  <c r="AB98" i="1" s="1"/>
  <c r="AK98" i="1"/>
  <c r="AJ98" i="1"/>
  <c r="AH98" i="1"/>
  <c r="AG98" i="1"/>
  <c r="AF98" i="1"/>
  <c r="AE98" i="1"/>
  <c r="AD98" i="1"/>
  <c r="Z98" i="1"/>
  <c r="J98" i="1"/>
  <c r="AL98" i="1" s="1"/>
  <c r="I98" i="1"/>
  <c r="BJ97" i="1"/>
  <c r="BF97" i="1"/>
  <c r="BD97" i="1"/>
  <c r="AP97" i="1"/>
  <c r="AX97" i="1" s="1"/>
  <c r="AO97" i="1"/>
  <c r="AK97" i="1"/>
  <c r="AJ97" i="1"/>
  <c r="AH97" i="1"/>
  <c r="AG97" i="1"/>
  <c r="AF97" i="1"/>
  <c r="AE97" i="1"/>
  <c r="AD97" i="1"/>
  <c r="Z97" i="1"/>
  <c r="J97" i="1"/>
  <c r="AL97" i="1" s="1"/>
  <c r="I97" i="1"/>
  <c r="BJ96" i="1"/>
  <c r="BI96" i="1"/>
  <c r="AC96" i="1" s="1"/>
  <c r="BF96" i="1"/>
  <c r="BD96" i="1"/>
  <c r="AX96" i="1"/>
  <c r="AP96" i="1"/>
  <c r="I96" i="1" s="1"/>
  <c r="AO96" i="1"/>
  <c r="AW96" i="1" s="1"/>
  <c r="AK96" i="1"/>
  <c r="AJ96" i="1"/>
  <c r="AH96" i="1"/>
  <c r="AG96" i="1"/>
  <c r="AF96" i="1"/>
  <c r="AE96" i="1"/>
  <c r="AD96" i="1"/>
  <c r="Z96" i="1"/>
  <c r="J96" i="1"/>
  <c r="AL96" i="1" s="1"/>
  <c r="BJ95" i="1"/>
  <c r="BI95" i="1"/>
  <c r="AC95" i="1" s="1"/>
  <c r="BF95" i="1"/>
  <c r="BD95" i="1"/>
  <c r="AP95" i="1"/>
  <c r="AX95" i="1" s="1"/>
  <c r="AO95" i="1"/>
  <c r="BH95" i="1" s="1"/>
  <c r="AL95" i="1"/>
  <c r="AK95" i="1"/>
  <c r="AJ95" i="1"/>
  <c r="AS94" i="1" s="1"/>
  <c r="AH95" i="1"/>
  <c r="AG95" i="1"/>
  <c r="AF95" i="1"/>
  <c r="AE95" i="1"/>
  <c r="AD95" i="1"/>
  <c r="AB95" i="1"/>
  <c r="Z95" i="1"/>
  <c r="J95" i="1"/>
  <c r="I95" i="1"/>
  <c r="I94" i="1" s="1"/>
  <c r="BJ93" i="1"/>
  <c r="BF93" i="1"/>
  <c r="BD93" i="1"/>
  <c r="AP93" i="1"/>
  <c r="I93" i="1" s="1"/>
  <c r="AO93" i="1"/>
  <c r="AW93" i="1" s="1"/>
  <c r="AK93" i="1"/>
  <c r="AJ93" i="1"/>
  <c r="AH93" i="1"/>
  <c r="AG93" i="1"/>
  <c r="AF93" i="1"/>
  <c r="AE93" i="1"/>
  <c r="AD93" i="1"/>
  <c r="Z93" i="1"/>
  <c r="J93" i="1"/>
  <c r="AL93" i="1" s="1"/>
  <c r="BJ92" i="1"/>
  <c r="BF92" i="1"/>
  <c r="BD92" i="1"/>
  <c r="AW92" i="1"/>
  <c r="AP92" i="1"/>
  <c r="AO92" i="1"/>
  <c r="BH92" i="1" s="1"/>
  <c r="AL92" i="1"/>
  <c r="AK92" i="1"/>
  <c r="AJ92" i="1"/>
  <c r="AH92" i="1"/>
  <c r="AG92" i="1"/>
  <c r="AF92" i="1"/>
  <c r="AE92" i="1"/>
  <c r="AD92" i="1"/>
  <c r="AB92" i="1"/>
  <c r="Z92" i="1"/>
  <c r="J92" i="1"/>
  <c r="H92" i="1"/>
  <c r="BJ91" i="1"/>
  <c r="BF91" i="1"/>
  <c r="BD91" i="1"/>
  <c r="AX91" i="1"/>
  <c r="AP91" i="1"/>
  <c r="BI91" i="1" s="1"/>
  <c r="AC91" i="1" s="1"/>
  <c r="AO91" i="1"/>
  <c r="AL91" i="1"/>
  <c r="AK91" i="1"/>
  <c r="AJ91" i="1"/>
  <c r="AH91" i="1"/>
  <c r="AG91" i="1"/>
  <c r="AF91" i="1"/>
  <c r="AE91" i="1"/>
  <c r="AD91" i="1"/>
  <c r="Z91" i="1"/>
  <c r="J91" i="1"/>
  <c r="I91" i="1"/>
  <c r="H91" i="1"/>
  <c r="BJ90" i="1"/>
  <c r="BF90" i="1"/>
  <c r="BD90" i="1"/>
  <c r="AP90" i="1"/>
  <c r="AX90" i="1" s="1"/>
  <c r="AO90" i="1"/>
  <c r="H90" i="1" s="1"/>
  <c r="AK90" i="1"/>
  <c r="AJ90" i="1"/>
  <c r="AS89" i="1" s="1"/>
  <c r="AH90" i="1"/>
  <c r="AG90" i="1"/>
  <c r="AF90" i="1"/>
  <c r="AE90" i="1"/>
  <c r="AD90" i="1"/>
  <c r="Z90" i="1"/>
  <c r="J90" i="1"/>
  <c r="J89" i="1" s="1"/>
  <c r="BJ88" i="1"/>
  <c r="BF88" i="1"/>
  <c r="BD88" i="1"/>
  <c r="AW88" i="1"/>
  <c r="AP88" i="1"/>
  <c r="AO88" i="1"/>
  <c r="AK88" i="1"/>
  <c r="AJ88" i="1"/>
  <c r="AH88" i="1"/>
  <c r="AG88" i="1"/>
  <c r="AF88" i="1"/>
  <c r="AE88" i="1"/>
  <c r="AD88" i="1"/>
  <c r="Z88" i="1"/>
  <c r="J88" i="1"/>
  <c r="AL88" i="1" s="1"/>
  <c r="BJ87" i="1"/>
  <c r="BH87" i="1"/>
  <c r="AB87" i="1" s="1"/>
  <c r="BF87" i="1"/>
  <c r="BD87" i="1"/>
  <c r="AP87" i="1"/>
  <c r="BI87" i="1" s="1"/>
  <c r="AC87" i="1" s="1"/>
  <c r="AO87" i="1"/>
  <c r="H87" i="1" s="1"/>
  <c r="AL87" i="1"/>
  <c r="AK87" i="1"/>
  <c r="AJ87" i="1"/>
  <c r="AH87" i="1"/>
  <c r="AG87" i="1"/>
  <c r="AF87" i="1"/>
  <c r="AE87" i="1"/>
  <c r="AD87" i="1"/>
  <c r="Z87" i="1"/>
  <c r="J87" i="1"/>
  <c r="BJ86" i="1"/>
  <c r="BF86" i="1"/>
  <c r="BD86" i="1"/>
  <c r="AP86" i="1"/>
  <c r="I86" i="1" s="1"/>
  <c r="AO86" i="1"/>
  <c r="AK86" i="1"/>
  <c r="AJ86" i="1"/>
  <c r="AH86" i="1"/>
  <c r="AG86" i="1"/>
  <c r="AF86" i="1"/>
  <c r="AE86" i="1"/>
  <c r="AD86" i="1"/>
  <c r="Z86" i="1"/>
  <c r="J86" i="1"/>
  <c r="AL86" i="1" s="1"/>
  <c r="BJ85" i="1"/>
  <c r="BF85" i="1"/>
  <c r="BD85" i="1"/>
  <c r="AP85" i="1"/>
  <c r="AX85" i="1" s="1"/>
  <c r="AO85" i="1"/>
  <c r="BH85" i="1" s="1"/>
  <c r="AK85" i="1"/>
  <c r="AJ85" i="1"/>
  <c r="AH85" i="1"/>
  <c r="AG85" i="1"/>
  <c r="AF85" i="1"/>
  <c r="AE85" i="1"/>
  <c r="AD85" i="1"/>
  <c r="AB85" i="1"/>
  <c r="Z85" i="1"/>
  <c r="J85" i="1"/>
  <c r="AL85" i="1" s="1"/>
  <c r="H85" i="1"/>
  <c r="BJ84" i="1"/>
  <c r="BF84" i="1"/>
  <c r="BD84" i="1"/>
  <c r="AP84" i="1"/>
  <c r="AO84" i="1"/>
  <c r="H84" i="1" s="1"/>
  <c r="AK84" i="1"/>
  <c r="AT83" i="1" s="1"/>
  <c r="AJ84" i="1"/>
  <c r="AH84" i="1"/>
  <c r="AG84" i="1"/>
  <c r="AF84" i="1"/>
  <c r="AE84" i="1"/>
  <c r="AD84" i="1"/>
  <c r="Z84" i="1"/>
  <c r="J84" i="1"/>
  <c r="AL84" i="1" s="1"/>
  <c r="AS83" i="1"/>
  <c r="BJ82" i="1"/>
  <c r="BI82" i="1"/>
  <c r="BF82" i="1"/>
  <c r="BD82" i="1"/>
  <c r="AP82" i="1"/>
  <c r="AX82" i="1" s="1"/>
  <c r="AO82" i="1"/>
  <c r="BH82" i="1" s="1"/>
  <c r="AB82" i="1" s="1"/>
  <c r="AK82" i="1"/>
  <c r="AJ82" i="1"/>
  <c r="AH82" i="1"/>
  <c r="AG82" i="1"/>
  <c r="AF82" i="1"/>
  <c r="AE82" i="1"/>
  <c r="AD82" i="1"/>
  <c r="AC82" i="1"/>
  <c r="Z82" i="1"/>
  <c r="J82" i="1"/>
  <c r="AL82" i="1" s="1"/>
  <c r="H82" i="1"/>
  <c r="BJ81" i="1"/>
  <c r="BF81" i="1"/>
  <c r="BD81" i="1"/>
  <c r="AX81" i="1"/>
  <c r="AP81" i="1"/>
  <c r="BI81" i="1" s="1"/>
  <c r="AO81" i="1"/>
  <c r="BH81" i="1" s="1"/>
  <c r="AB81" i="1" s="1"/>
  <c r="AK81" i="1"/>
  <c r="AJ81" i="1"/>
  <c r="AH81" i="1"/>
  <c r="AG81" i="1"/>
  <c r="AF81" i="1"/>
  <c r="AE81" i="1"/>
  <c r="AD81" i="1"/>
  <c r="AC81" i="1"/>
  <c r="Z81" i="1"/>
  <c r="J81" i="1"/>
  <c r="AL81" i="1" s="1"/>
  <c r="I81" i="1"/>
  <c r="H81" i="1"/>
  <c r="BJ80" i="1"/>
  <c r="BI80" i="1"/>
  <c r="AC80" i="1" s="1"/>
  <c r="BF80" i="1"/>
  <c r="BD80" i="1"/>
  <c r="AP80" i="1"/>
  <c r="AX80" i="1" s="1"/>
  <c r="AO80" i="1"/>
  <c r="H80" i="1" s="1"/>
  <c r="AK80" i="1"/>
  <c r="AT79" i="1" s="1"/>
  <c r="AJ80" i="1"/>
  <c r="AH80" i="1"/>
  <c r="AG80" i="1"/>
  <c r="AF80" i="1"/>
  <c r="AE80" i="1"/>
  <c r="AD80" i="1"/>
  <c r="Z80" i="1"/>
  <c r="J80" i="1"/>
  <c r="AL80" i="1" s="1"/>
  <c r="I80" i="1"/>
  <c r="BJ78" i="1"/>
  <c r="BF78" i="1"/>
  <c r="BD78" i="1"/>
  <c r="AP78" i="1"/>
  <c r="BI78" i="1" s="1"/>
  <c r="AC78" i="1" s="1"/>
  <c r="AO78" i="1"/>
  <c r="H78" i="1" s="1"/>
  <c r="AK78" i="1"/>
  <c r="AJ78" i="1"/>
  <c r="AH78" i="1"/>
  <c r="AG78" i="1"/>
  <c r="AF78" i="1"/>
  <c r="AE78" i="1"/>
  <c r="AD78" i="1"/>
  <c r="Z78" i="1"/>
  <c r="J78" i="1"/>
  <c r="AL78" i="1" s="1"/>
  <c r="BJ77" i="1"/>
  <c r="BI77" i="1"/>
  <c r="AC77" i="1" s="1"/>
  <c r="BF77" i="1"/>
  <c r="BD77" i="1"/>
  <c r="AP77" i="1"/>
  <c r="AX77" i="1" s="1"/>
  <c r="AO77" i="1"/>
  <c r="H77" i="1" s="1"/>
  <c r="AK77" i="1"/>
  <c r="AJ77" i="1"/>
  <c r="AH77" i="1"/>
  <c r="AG77" i="1"/>
  <c r="AF77" i="1"/>
  <c r="AE77" i="1"/>
  <c r="AD77" i="1"/>
  <c r="Z77" i="1"/>
  <c r="J77" i="1"/>
  <c r="AL77" i="1" s="1"/>
  <c r="I77" i="1"/>
  <c r="BJ76" i="1"/>
  <c r="BI76" i="1"/>
  <c r="AC76" i="1" s="1"/>
  <c r="BF76" i="1"/>
  <c r="BD76" i="1"/>
  <c r="AX76" i="1"/>
  <c r="AV76" i="1"/>
  <c r="AP76" i="1"/>
  <c r="I76" i="1" s="1"/>
  <c r="AO76" i="1"/>
  <c r="AW76" i="1" s="1"/>
  <c r="BC76" i="1" s="1"/>
  <c r="AK76" i="1"/>
  <c r="AJ76" i="1"/>
  <c r="AH76" i="1"/>
  <c r="AG76" i="1"/>
  <c r="AF76" i="1"/>
  <c r="AE76" i="1"/>
  <c r="AD76" i="1"/>
  <c r="Z76" i="1"/>
  <c r="J76" i="1"/>
  <c r="AL76" i="1" s="1"/>
  <c r="BJ75" i="1"/>
  <c r="BF75" i="1"/>
  <c r="BD75" i="1"/>
  <c r="AP75" i="1"/>
  <c r="AX75" i="1" s="1"/>
  <c r="AO75" i="1"/>
  <c r="BH75" i="1" s="1"/>
  <c r="AK75" i="1"/>
  <c r="AJ75" i="1"/>
  <c r="AH75" i="1"/>
  <c r="AG75" i="1"/>
  <c r="AF75" i="1"/>
  <c r="AE75" i="1"/>
  <c r="AD75" i="1"/>
  <c r="AB75" i="1"/>
  <c r="Z75" i="1"/>
  <c r="J75" i="1"/>
  <c r="AL75" i="1" s="1"/>
  <c r="I75" i="1"/>
  <c r="H75" i="1"/>
  <c r="BJ74" i="1"/>
  <c r="BH74" i="1"/>
  <c r="AB74" i="1" s="1"/>
  <c r="BF74" i="1"/>
  <c r="BD74" i="1"/>
  <c r="AX74" i="1"/>
  <c r="AW74" i="1"/>
  <c r="AP74" i="1"/>
  <c r="BI74" i="1" s="1"/>
  <c r="AC74" i="1" s="1"/>
  <c r="AO74" i="1"/>
  <c r="AK74" i="1"/>
  <c r="AJ74" i="1"/>
  <c r="AH74" i="1"/>
  <c r="AG74" i="1"/>
  <c r="AF74" i="1"/>
  <c r="AE74" i="1"/>
  <c r="AD74" i="1"/>
  <c r="Z74" i="1"/>
  <c r="J74" i="1"/>
  <c r="AL74" i="1" s="1"/>
  <c r="I74" i="1"/>
  <c r="H74" i="1"/>
  <c r="BJ73" i="1"/>
  <c r="BH73" i="1"/>
  <c r="AB73" i="1" s="1"/>
  <c r="BF73" i="1"/>
  <c r="BD73" i="1"/>
  <c r="AW73" i="1"/>
  <c r="AP73" i="1"/>
  <c r="AX73" i="1" s="1"/>
  <c r="AO73" i="1"/>
  <c r="H73" i="1" s="1"/>
  <c r="AK73" i="1"/>
  <c r="AJ73" i="1"/>
  <c r="AH73" i="1"/>
  <c r="AG73" i="1"/>
  <c r="AF73" i="1"/>
  <c r="AE73" i="1"/>
  <c r="AD73" i="1"/>
  <c r="Z73" i="1"/>
  <c r="J73" i="1"/>
  <c r="AL73" i="1" s="1"/>
  <c r="BJ72" i="1"/>
  <c r="BH72" i="1"/>
  <c r="AB72" i="1" s="1"/>
  <c r="BF72" i="1"/>
  <c r="BD72" i="1"/>
  <c r="AP72" i="1"/>
  <c r="I72" i="1" s="1"/>
  <c r="AO72" i="1"/>
  <c r="AW72" i="1" s="1"/>
  <c r="AK72" i="1"/>
  <c r="AJ72" i="1"/>
  <c r="AH72" i="1"/>
  <c r="AG72" i="1"/>
  <c r="AF72" i="1"/>
  <c r="AE72" i="1"/>
  <c r="AD72" i="1"/>
  <c r="Z72" i="1"/>
  <c r="J72" i="1"/>
  <c r="AL72" i="1" s="1"/>
  <c r="H72" i="1"/>
  <c r="BJ71" i="1"/>
  <c r="BF71" i="1"/>
  <c r="BD71" i="1"/>
  <c r="AP71" i="1"/>
  <c r="AX71" i="1" s="1"/>
  <c r="AO71" i="1"/>
  <c r="BH71" i="1" s="1"/>
  <c r="AB71" i="1" s="1"/>
  <c r="AK71" i="1"/>
  <c r="AJ71" i="1"/>
  <c r="AH71" i="1"/>
  <c r="AG71" i="1"/>
  <c r="AF71" i="1"/>
  <c r="AE71" i="1"/>
  <c r="AD71" i="1"/>
  <c r="Z71" i="1"/>
  <c r="J71" i="1"/>
  <c r="AL71" i="1" s="1"/>
  <c r="I71" i="1"/>
  <c r="BJ70" i="1"/>
  <c r="BF70" i="1"/>
  <c r="BD70" i="1"/>
  <c r="AX70" i="1"/>
  <c r="AP70" i="1"/>
  <c r="BI70" i="1" s="1"/>
  <c r="AC70" i="1" s="1"/>
  <c r="AO70" i="1"/>
  <c r="BH70" i="1" s="1"/>
  <c r="AB70" i="1" s="1"/>
  <c r="AK70" i="1"/>
  <c r="AJ70" i="1"/>
  <c r="AH70" i="1"/>
  <c r="AG70" i="1"/>
  <c r="AF70" i="1"/>
  <c r="AE70" i="1"/>
  <c r="AD70" i="1"/>
  <c r="Z70" i="1"/>
  <c r="J70" i="1"/>
  <c r="AL70" i="1" s="1"/>
  <c r="I70" i="1"/>
  <c r="H70" i="1"/>
  <c r="BJ69" i="1"/>
  <c r="BF69" i="1"/>
  <c r="BD69" i="1"/>
  <c r="AX69" i="1"/>
  <c r="AW69" i="1"/>
  <c r="AP69" i="1"/>
  <c r="BI69" i="1" s="1"/>
  <c r="AC69" i="1" s="1"/>
  <c r="AO69" i="1"/>
  <c r="H69" i="1" s="1"/>
  <c r="AL69" i="1"/>
  <c r="AK69" i="1"/>
  <c r="AJ69" i="1"/>
  <c r="AH69" i="1"/>
  <c r="AG69" i="1"/>
  <c r="AF69" i="1"/>
  <c r="AE69" i="1"/>
  <c r="AD69" i="1"/>
  <c r="Z69" i="1"/>
  <c r="J69" i="1"/>
  <c r="I69" i="1"/>
  <c r="BJ68" i="1"/>
  <c r="BI68" i="1"/>
  <c r="AC68" i="1" s="1"/>
  <c r="BF68" i="1"/>
  <c r="BD68" i="1"/>
  <c r="AP68" i="1"/>
  <c r="I68" i="1" s="1"/>
  <c r="AO68" i="1"/>
  <c r="AW68" i="1" s="1"/>
  <c r="AK68" i="1"/>
  <c r="AJ68" i="1"/>
  <c r="AH68" i="1"/>
  <c r="AG68" i="1"/>
  <c r="AF68" i="1"/>
  <c r="AE68" i="1"/>
  <c r="AD68" i="1"/>
  <c r="Z68" i="1"/>
  <c r="J68" i="1"/>
  <c r="AL68" i="1" s="1"/>
  <c r="BJ67" i="1"/>
  <c r="BF67" i="1"/>
  <c r="BD67" i="1"/>
  <c r="AW67" i="1"/>
  <c r="BC67" i="1" s="1"/>
  <c r="AV67" i="1"/>
  <c r="AP67" i="1"/>
  <c r="AX67" i="1" s="1"/>
  <c r="AO67" i="1"/>
  <c r="BH67" i="1" s="1"/>
  <c r="AB67" i="1" s="1"/>
  <c r="AL67" i="1"/>
  <c r="AK67" i="1"/>
  <c r="AJ67" i="1"/>
  <c r="AS66" i="1" s="1"/>
  <c r="AH67" i="1"/>
  <c r="AG67" i="1"/>
  <c r="AF67" i="1"/>
  <c r="AE67" i="1"/>
  <c r="AD67" i="1"/>
  <c r="Z67" i="1"/>
  <c r="J67" i="1"/>
  <c r="I67" i="1"/>
  <c r="H67" i="1"/>
  <c r="BJ65" i="1"/>
  <c r="BF65" i="1"/>
  <c r="BD65" i="1"/>
  <c r="AP65" i="1"/>
  <c r="BI65" i="1" s="1"/>
  <c r="AC65" i="1" s="1"/>
  <c r="AO65" i="1"/>
  <c r="BH65" i="1" s="1"/>
  <c r="AB65" i="1" s="1"/>
  <c r="AK65" i="1"/>
  <c r="AJ65" i="1"/>
  <c r="AH65" i="1"/>
  <c r="AG65" i="1"/>
  <c r="AF65" i="1"/>
  <c r="AE65" i="1"/>
  <c r="AD65" i="1"/>
  <c r="Z65" i="1"/>
  <c r="J65" i="1"/>
  <c r="AL65" i="1" s="1"/>
  <c r="BJ64" i="1"/>
  <c r="BF64" i="1"/>
  <c r="BD64" i="1"/>
  <c r="AP64" i="1"/>
  <c r="BI64" i="1" s="1"/>
  <c r="AC64" i="1" s="1"/>
  <c r="AO64" i="1"/>
  <c r="BH64" i="1" s="1"/>
  <c r="AB64" i="1" s="1"/>
  <c r="AL64" i="1"/>
  <c r="AK64" i="1"/>
  <c r="AJ64" i="1"/>
  <c r="AH64" i="1"/>
  <c r="AG64" i="1"/>
  <c r="AF64" i="1"/>
  <c r="AE64" i="1"/>
  <c r="AD64" i="1"/>
  <c r="Z64" i="1"/>
  <c r="J64" i="1"/>
  <c r="BJ63" i="1"/>
  <c r="BF63" i="1"/>
  <c r="BD63" i="1"/>
  <c r="AP63" i="1"/>
  <c r="BI63" i="1" s="1"/>
  <c r="AC63" i="1" s="1"/>
  <c r="AO63" i="1"/>
  <c r="BH63" i="1" s="1"/>
  <c r="AB63" i="1" s="1"/>
  <c r="AK63" i="1"/>
  <c r="AJ63" i="1"/>
  <c r="AH63" i="1"/>
  <c r="AG63" i="1"/>
  <c r="AF63" i="1"/>
  <c r="AE63" i="1"/>
  <c r="AD63" i="1"/>
  <c r="Z63" i="1"/>
  <c r="J63" i="1"/>
  <c r="AL63" i="1" s="1"/>
  <c r="BJ62" i="1"/>
  <c r="BF62" i="1"/>
  <c r="BD62" i="1"/>
  <c r="AW62" i="1"/>
  <c r="AP62" i="1"/>
  <c r="BI62" i="1" s="1"/>
  <c r="AC62" i="1" s="1"/>
  <c r="AO62" i="1"/>
  <c r="BH62" i="1" s="1"/>
  <c r="AB62" i="1" s="1"/>
  <c r="AK62" i="1"/>
  <c r="AJ62" i="1"/>
  <c r="AH62" i="1"/>
  <c r="AG62" i="1"/>
  <c r="AF62" i="1"/>
  <c r="AE62" i="1"/>
  <c r="AD62" i="1"/>
  <c r="Z62" i="1"/>
  <c r="J62" i="1"/>
  <c r="AL62" i="1" s="1"/>
  <c r="I62" i="1"/>
  <c r="H62" i="1"/>
  <c r="BJ61" i="1"/>
  <c r="BF61" i="1"/>
  <c r="BD61" i="1"/>
  <c r="AP61" i="1"/>
  <c r="BI61" i="1" s="1"/>
  <c r="AC61" i="1" s="1"/>
  <c r="AO61" i="1"/>
  <c r="BH61" i="1" s="1"/>
  <c r="AB61" i="1" s="1"/>
  <c r="AK61" i="1"/>
  <c r="AT58" i="1" s="1"/>
  <c r="AJ61" i="1"/>
  <c r="AH61" i="1"/>
  <c r="AG61" i="1"/>
  <c r="AF61" i="1"/>
  <c r="AE61" i="1"/>
  <c r="AD61" i="1"/>
  <c r="Z61" i="1"/>
  <c r="J61" i="1"/>
  <c r="AL61" i="1" s="1"/>
  <c r="BJ60" i="1"/>
  <c r="BF60" i="1"/>
  <c r="BD60" i="1"/>
  <c r="AW60" i="1"/>
  <c r="AP60" i="1"/>
  <c r="BI60" i="1" s="1"/>
  <c r="AC60" i="1" s="1"/>
  <c r="AO60" i="1"/>
  <c r="BH60" i="1" s="1"/>
  <c r="AB60" i="1" s="1"/>
  <c r="AK60" i="1"/>
  <c r="AJ60" i="1"/>
  <c r="AH60" i="1"/>
  <c r="AG60" i="1"/>
  <c r="AF60" i="1"/>
  <c r="AE60" i="1"/>
  <c r="AD60" i="1"/>
  <c r="Z60" i="1"/>
  <c r="J60" i="1"/>
  <c r="AL60" i="1" s="1"/>
  <c r="BJ59" i="1"/>
  <c r="BF59" i="1"/>
  <c r="BD59" i="1"/>
  <c r="AP59" i="1"/>
  <c r="BI59" i="1" s="1"/>
  <c r="AC59" i="1" s="1"/>
  <c r="AO59" i="1"/>
  <c r="H59" i="1" s="1"/>
  <c r="AK59" i="1"/>
  <c r="AJ59" i="1"/>
  <c r="AH59" i="1"/>
  <c r="AG59" i="1"/>
  <c r="AF59" i="1"/>
  <c r="AE59" i="1"/>
  <c r="AD59" i="1"/>
  <c r="Z59" i="1"/>
  <c r="J59" i="1"/>
  <c r="BJ57" i="1"/>
  <c r="BF57" i="1"/>
  <c r="BD57" i="1"/>
  <c r="AW57" i="1"/>
  <c r="AP57" i="1"/>
  <c r="BI57" i="1" s="1"/>
  <c r="AC57" i="1" s="1"/>
  <c r="AO57" i="1"/>
  <c r="BH57" i="1" s="1"/>
  <c r="AB57" i="1" s="1"/>
  <c r="AL57" i="1"/>
  <c r="AK57" i="1"/>
  <c r="AJ57" i="1"/>
  <c r="AH57" i="1"/>
  <c r="AG57" i="1"/>
  <c r="AF57" i="1"/>
  <c r="AE57" i="1"/>
  <c r="AD57" i="1"/>
  <c r="Z57" i="1"/>
  <c r="J57" i="1"/>
  <c r="I57" i="1"/>
  <c r="BJ56" i="1"/>
  <c r="BF56" i="1"/>
  <c r="BD56" i="1"/>
  <c r="AP56" i="1"/>
  <c r="BI56" i="1" s="1"/>
  <c r="AC56" i="1" s="1"/>
  <c r="AO56" i="1"/>
  <c r="H56" i="1" s="1"/>
  <c r="AK56" i="1"/>
  <c r="AJ56" i="1"/>
  <c r="AH56" i="1"/>
  <c r="AG56" i="1"/>
  <c r="AF56" i="1"/>
  <c r="AE56" i="1"/>
  <c r="AD56" i="1"/>
  <c r="Z56" i="1"/>
  <c r="J56" i="1"/>
  <c r="AL56" i="1" s="1"/>
  <c r="BJ55" i="1"/>
  <c r="BF55" i="1"/>
  <c r="BD55" i="1"/>
  <c r="AP55" i="1"/>
  <c r="I55" i="1" s="1"/>
  <c r="AO55" i="1"/>
  <c r="BH55" i="1" s="1"/>
  <c r="AB55" i="1" s="1"/>
  <c r="AK55" i="1"/>
  <c r="AJ55" i="1"/>
  <c r="AH55" i="1"/>
  <c r="AG55" i="1"/>
  <c r="AF55" i="1"/>
  <c r="AE55" i="1"/>
  <c r="AD55" i="1"/>
  <c r="Z55" i="1"/>
  <c r="J55" i="1"/>
  <c r="AL55" i="1" s="1"/>
  <c r="BJ54" i="1"/>
  <c r="BF54" i="1"/>
  <c r="BD54" i="1"/>
  <c r="AX54" i="1"/>
  <c r="AP54" i="1"/>
  <c r="BI54" i="1" s="1"/>
  <c r="AC54" i="1" s="1"/>
  <c r="AO54" i="1"/>
  <c r="BH54" i="1" s="1"/>
  <c r="AB54" i="1" s="1"/>
  <c r="AK54" i="1"/>
  <c r="AJ54" i="1"/>
  <c r="AH54" i="1"/>
  <c r="AG54" i="1"/>
  <c r="AF54" i="1"/>
  <c r="AE54" i="1"/>
  <c r="AD54" i="1"/>
  <c r="Z54" i="1"/>
  <c r="J54" i="1"/>
  <c r="AL54" i="1" s="1"/>
  <c r="I54" i="1"/>
  <c r="BJ53" i="1"/>
  <c r="BF53" i="1"/>
  <c r="BD53" i="1"/>
  <c r="AW53" i="1"/>
  <c r="AP53" i="1"/>
  <c r="BI53" i="1" s="1"/>
  <c r="AC53" i="1" s="1"/>
  <c r="AO53" i="1"/>
  <c r="BH53" i="1" s="1"/>
  <c r="AB53" i="1" s="1"/>
  <c r="AK53" i="1"/>
  <c r="AJ53" i="1"/>
  <c r="AH53" i="1"/>
  <c r="AG53" i="1"/>
  <c r="AF53" i="1"/>
  <c r="AE53" i="1"/>
  <c r="AD53" i="1"/>
  <c r="Z53" i="1"/>
  <c r="J53" i="1"/>
  <c r="AL53" i="1" s="1"/>
  <c r="I53" i="1"/>
  <c r="BJ52" i="1"/>
  <c r="BF52" i="1"/>
  <c r="BD52" i="1"/>
  <c r="AP52" i="1"/>
  <c r="BI52" i="1" s="1"/>
  <c r="AC52" i="1" s="1"/>
  <c r="AO52" i="1"/>
  <c r="H52" i="1" s="1"/>
  <c r="AK52" i="1"/>
  <c r="AJ52" i="1"/>
  <c r="AH52" i="1"/>
  <c r="AG52" i="1"/>
  <c r="AF52" i="1"/>
  <c r="AE52" i="1"/>
  <c r="AD52" i="1"/>
  <c r="Z52" i="1"/>
  <c r="J52" i="1"/>
  <c r="AL52" i="1" s="1"/>
  <c r="BJ51" i="1"/>
  <c r="BF51" i="1"/>
  <c r="BD51" i="1"/>
  <c r="AP51" i="1"/>
  <c r="I51" i="1" s="1"/>
  <c r="AO51" i="1"/>
  <c r="BH51" i="1" s="1"/>
  <c r="AB51" i="1" s="1"/>
  <c r="AK51" i="1"/>
  <c r="AJ51" i="1"/>
  <c r="AH51" i="1"/>
  <c r="AG51" i="1"/>
  <c r="AF51" i="1"/>
  <c r="AE51" i="1"/>
  <c r="AD51" i="1"/>
  <c r="Z51" i="1"/>
  <c r="J51" i="1"/>
  <c r="AL51" i="1" s="1"/>
  <c r="BJ50" i="1"/>
  <c r="BF50" i="1"/>
  <c r="BD50" i="1"/>
  <c r="AX50" i="1"/>
  <c r="AP50" i="1"/>
  <c r="BI50" i="1" s="1"/>
  <c r="AC50" i="1" s="1"/>
  <c r="AO50" i="1"/>
  <c r="BH50" i="1" s="1"/>
  <c r="AB50" i="1" s="1"/>
  <c r="AK50" i="1"/>
  <c r="AJ50" i="1"/>
  <c r="AH50" i="1"/>
  <c r="AG50" i="1"/>
  <c r="AF50" i="1"/>
  <c r="AE50" i="1"/>
  <c r="AD50" i="1"/>
  <c r="Z50" i="1"/>
  <c r="J50" i="1"/>
  <c r="AL50" i="1" s="1"/>
  <c r="I50" i="1"/>
  <c r="BJ49" i="1"/>
  <c r="BF49" i="1"/>
  <c r="BD49" i="1"/>
  <c r="AW49" i="1"/>
  <c r="AP49" i="1"/>
  <c r="BI49" i="1" s="1"/>
  <c r="AC49" i="1" s="1"/>
  <c r="AO49" i="1"/>
  <c r="BH49" i="1" s="1"/>
  <c r="AB49" i="1" s="1"/>
  <c r="AL49" i="1"/>
  <c r="AK49" i="1"/>
  <c r="AJ49" i="1"/>
  <c r="AH49" i="1"/>
  <c r="AG49" i="1"/>
  <c r="AF49" i="1"/>
  <c r="AE49" i="1"/>
  <c r="AD49" i="1"/>
  <c r="Z49" i="1"/>
  <c r="J49" i="1"/>
  <c r="I49" i="1"/>
  <c r="BJ48" i="1"/>
  <c r="BF48" i="1"/>
  <c r="BD48" i="1"/>
  <c r="AP48" i="1"/>
  <c r="BI48" i="1" s="1"/>
  <c r="AC48" i="1" s="1"/>
  <c r="AO48" i="1"/>
  <c r="H48" i="1" s="1"/>
  <c r="AK48" i="1"/>
  <c r="AJ48" i="1"/>
  <c r="AH48" i="1"/>
  <c r="AG48" i="1"/>
  <c r="AF48" i="1"/>
  <c r="AE48" i="1"/>
  <c r="AD48" i="1"/>
  <c r="Z48" i="1"/>
  <c r="J48" i="1"/>
  <c r="AL48" i="1" s="1"/>
  <c r="BJ47" i="1"/>
  <c r="BF47" i="1"/>
  <c r="BD47" i="1"/>
  <c r="AP47" i="1"/>
  <c r="I47" i="1" s="1"/>
  <c r="AO47" i="1"/>
  <c r="BH47" i="1" s="1"/>
  <c r="AB47" i="1" s="1"/>
  <c r="AK47" i="1"/>
  <c r="AJ47" i="1"/>
  <c r="AH47" i="1"/>
  <c r="AG47" i="1"/>
  <c r="AF47" i="1"/>
  <c r="AE47" i="1"/>
  <c r="AD47" i="1"/>
  <c r="Z47" i="1"/>
  <c r="J47" i="1"/>
  <c r="AL47" i="1" s="1"/>
  <c r="BJ46" i="1"/>
  <c r="BF46" i="1"/>
  <c r="BD46" i="1"/>
  <c r="AX46" i="1"/>
  <c r="AP46" i="1"/>
  <c r="BI46" i="1" s="1"/>
  <c r="AC46" i="1" s="1"/>
  <c r="AO46" i="1"/>
  <c r="BH46" i="1" s="1"/>
  <c r="AB46" i="1" s="1"/>
  <c r="AK46" i="1"/>
  <c r="AJ46" i="1"/>
  <c r="AH46" i="1"/>
  <c r="AG46" i="1"/>
  <c r="AF46" i="1"/>
  <c r="AE46" i="1"/>
  <c r="AD46" i="1"/>
  <c r="Z46" i="1"/>
  <c r="J46" i="1"/>
  <c r="AL46" i="1" s="1"/>
  <c r="I46" i="1"/>
  <c r="BJ45" i="1"/>
  <c r="BF45" i="1"/>
  <c r="BD45" i="1"/>
  <c r="AW45" i="1"/>
  <c r="AP45" i="1"/>
  <c r="BI45" i="1" s="1"/>
  <c r="AC45" i="1" s="1"/>
  <c r="AO45" i="1"/>
  <c r="BH45" i="1" s="1"/>
  <c r="AB45" i="1" s="1"/>
  <c r="AK45" i="1"/>
  <c r="AJ45" i="1"/>
  <c r="AH45" i="1"/>
  <c r="AG45" i="1"/>
  <c r="AF45" i="1"/>
  <c r="AE45" i="1"/>
  <c r="AD45" i="1"/>
  <c r="Z45" i="1"/>
  <c r="J45" i="1"/>
  <c r="AL45" i="1" s="1"/>
  <c r="I45" i="1"/>
  <c r="BJ44" i="1"/>
  <c r="BF44" i="1"/>
  <c r="BD44" i="1"/>
  <c r="AP44" i="1"/>
  <c r="BI44" i="1" s="1"/>
  <c r="AC44" i="1" s="1"/>
  <c r="AO44" i="1"/>
  <c r="H44" i="1" s="1"/>
  <c r="AK44" i="1"/>
  <c r="AJ44" i="1"/>
  <c r="AH44" i="1"/>
  <c r="AG44" i="1"/>
  <c r="AF44" i="1"/>
  <c r="AE44" i="1"/>
  <c r="AD44" i="1"/>
  <c r="Z44" i="1"/>
  <c r="J44" i="1"/>
  <c r="AL44" i="1" s="1"/>
  <c r="BJ43" i="1"/>
  <c r="BF43" i="1"/>
  <c r="BD43" i="1"/>
  <c r="AP43" i="1"/>
  <c r="I43" i="1" s="1"/>
  <c r="AO43" i="1"/>
  <c r="BH43" i="1" s="1"/>
  <c r="AB43" i="1" s="1"/>
  <c r="AK43" i="1"/>
  <c r="AJ43" i="1"/>
  <c r="AH43" i="1"/>
  <c r="AG43" i="1"/>
  <c r="AF43" i="1"/>
  <c r="AE43" i="1"/>
  <c r="AD43" i="1"/>
  <c r="Z43" i="1"/>
  <c r="J43" i="1"/>
  <c r="AL43" i="1" s="1"/>
  <c r="BJ42" i="1"/>
  <c r="BF42" i="1"/>
  <c r="BD42" i="1"/>
  <c r="AX42" i="1"/>
  <c r="AP42" i="1"/>
  <c r="BI42" i="1" s="1"/>
  <c r="AC42" i="1" s="1"/>
  <c r="AO42" i="1"/>
  <c r="BH42" i="1" s="1"/>
  <c r="AB42" i="1" s="1"/>
  <c r="AK42" i="1"/>
  <c r="AJ42" i="1"/>
  <c r="AH42" i="1"/>
  <c r="AG42" i="1"/>
  <c r="AF42" i="1"/>
  <c r="AE42" i="1"/>
  <c r="AD42" i="1"/>
  <c r="Z42" i="1"/>
  <c r="J42" i="1"/>
  <c r="AL42" i="1" s="1"/>
  <c r="I42" i="1"/>
  <c r="BJ41" i="1"/>
  <c r="BF41" i="1"/>
  <c r="BD41" i="1"/>
  <c r="AW41" i="1"/>
  <c r="AP41" i="1"/>
  <c r="BI41" i="1" s="1"/>
  <c r="AC41" i="1" s="1"/>
  <c r="AO41" i="1"/>
  <c r="BH41" i="1" s="1"/>
  <c r="AB41" i="1" s="1"/>
  <c r="AL41" i="1"/>
  <c r="AK41" i="1"/>
  <c r="AJ41" i="1"/>
  <c r="AH41" i="1"/>
  <c r="AG41" i="1"/>
  <c r="AF41" i="1"/>
  <c r="AE41" i="1"/>
  <c r="AD41" i="1"/>
  <c r="Z41" i="1"/>
  <c r="J41" i="1"/>
  <c r="I41" i="1"/>
  <c r="BJ40" i="1"/>
  <c r="BF40" i="1"/>
  <c r="BD40" i="1"/>
  <c r="AP40" i="1"/>
  <c r="BI40" i="1" s="1"/>
  <c r="AC40" i="1" s="1"/>
  <c r="AO40" i="1"/>
  <c r="H40" i="1" s="1"/>
  <c r="AK40" i="1"/>
  <c r="AJ40" i="1"/>
  <c r="AH40" i="1"/>
  <c r="AG40" i="1"/>
  <c r="AF40" i="1"/>
  <c r="AE40" i="1"/>
  <c r="AD40" i="1"/>
  <c r="Z40" i="1"/>
  <c r="J40" i="1"/>
  <c r="AL40" i="1" s="1"/>
  <c r="BJ39" i="1"/>
  <c r="BF39" i="1"/>
  <c r="BD39" i="1"/>
  <c r="AP39" i="1"/>
  <c r="I39" i="1" s="1"/>
  <c r="AO39" i="1"/>
  <c r="BH39" i="1" s="1"/>
  <c r="AB39" i="1" s="1"/>
  <c r="AK39" i="1"/>
  <c r="AJ39" i="1"/>
  <c r="AH39" i="1"/>
  <c r="AG39" i="1"/>
  <c r="AF39" i="1"/>
  <c r="AE39" i="1"/>
  <c r="AD39" i="1"/>
  <c r="Z39" i="1"/>
  <c r="J39" i="1"/>
  <c r="AL39" i="1" s="1"/>
  <c r="BJ38" i="1"/>
  <c r="BF38" i="1"/>
  <c r="BD38" i="1"/>
  <c r="AX38" i="1"/>
  <c r="AP38" i="1"/>
  <c r="BI38" i="1" s="1"/>
  <c r="AC38" i="1" s="1"/>
  <c r="AO38" i="1"/>
  <c r="BH38" i="1" s="1"/>
  <c r="AB38" i="1" s="1"/>
  <c r="AK38" i="1"/>
  <c r="AJ38" i="1"/>
  <c r="AH38" i="1"/>
  <c r="AG38" i="1"/>
  <c r="AF38" i="1"/>
  <c r="AE38" i="1"/>
  <c r="AD38" i="1"/>
  <c r="Z38" i="1"/>
  <c r="J38" i="1"/>
  <c r="AL38" i="1" s="1"/>
  <c r="I38" i="1"/>
  <c r="BJ37" i="1"/>
  <c r="BF37" i="1"/>
  <c r="BD37" i="1"/>
  <c r="AW37" i="1"/>
  <c r="AP37" i="1"/>
  <c r="BI37" i="1" s="1"/>
  <c r="AC37" i="1" s="1"/>
  <c r="AO37" i="1"/>
  <c r="BH37" i="1" s="1"/>
  <c r="AB37" i="1" s="1"/>
  <c r="AK37" i="1"/>
  <c r="AJ37" i="1"/>
  <c r="AH37" i="1"/>
  <c r="AG37" i="1"/>
  <c r="AF37" i="1"/>
  <c r="AE37" i="1"/>
  <c r="AD37" i="1"/>
  <c r="Z37" i="1"/>
  <c r="J37" i="1"/>
  <c r="AL37" i="1" s="1"/>
  <c r="I37" i="1"/>
  <c r="BJ36" i="1"/>
  <c r="BF36" i="1"/>
  <c r="BD36" i="1"/>
  <c r="AP36" i="1"/>
  <c r="BI36" i="1" s="1"/>
  <c r="AC36" i="1" s="1"/>
  <c r="AO36" i="1"/>
  <c r="H36" i="1" s="1"/>
  <c r="AK36" i="1"/>
  <c r="AJ36" i="1"/>
  <c r="AH36" i="1"/>
  <c r="AG36" i="1"/>
  <c r="AF36" i="1"/>
  <c r="AE36" i="1"/>
  <c r="AD36" i="1"/>
  <c r="Z36" i="1"/>
  <c r="J36" i="1"/>
  <c r="AL36" i="1" s="1"/>
  <c r="BJ35" i="1"/>
  <c r="BF35" i="1"/>
  <c r="BD35" i="1"/>
  <c r="AP35" i="1"/>
  <c r="I35" i="1" s="1"/>
  <c r="AO35" i="1"/>
  <c r="BH35" i="1" s="1"/>
  <c r="AB35" i="1" s="1"/>
  <c r="AK35" i="1"/>
  <c r="AJ35" i="1"/>
  <c r="AH35" i="1"/>
  <c r="AG35" i="1"/>
  <c r="AF35" i="1"/>
  <c r="AE35" i="1"/>
  <c r="AD35" i="1"/>
  <c r="Z35" i="1"/>
  <c r="J35" i="1"/>
  <c r="AL35" i="1" s="1"/>
  <c r="BJ34" i="1"/>
  <c r="BF34" i="1"/>
  <c r="BD34" i="1"/>
  <c r="AX34" i="1"/>
  <c r="AP34" i="1"/>
  <c r="BI34" i="1" s="1"/>
  <c r="AC34" i="1" s="1"/>
  <c r="AO34" i="1"/>
  <c r="BH34" i="1" s="1"/>
  <c r="AB34" i="1" s="1"/>
  <c r="AK34" i="1"/>
  <c r="AJ34" i="1"/>
  <c r="AH34" i="1"/>
  <c r="AG34" i="1"/>
  <c r="AF34" i="1"/>
  <c r="AE34" i="1"/>
  <c r="AD34" i="1"/>
  <c r="Z34" i="1"/>
  <c r="J34" i="1"/>
  <c r="AL34" i="1" s="1"/>
  <c r="I34" i="1"/>
  <c r="H34" i="1"/>
  <c r="BJ33" i="1"/>
  <c r="BF33" i="1"/>
  <c r="BD33" i="1"/>
  <c r="AW33" i="1"/>
  <c r="AP33" i="1"/>
  <c r="BI33" i="1" s="1"/>
  <c r="AC33" i="1" s="1"/>
  <c r="AO33" i="1"/>
  <c r="BH33" i="1" s="1"/>
  <c r="AB33" i="1" s="1"/>
  <c r="AL33" i="1"/>
  <c r="AK33" i="1"/>
  <c r="AJ33" i="1"/>
  <c r="AH33" i="1"/>
  <c r="AG33" i="1"/>
  <c r="AF33" i="1"/>
  <c r="AE33" i="1"/>
  <c r="AD33" i="1"/>
  <c r="Z33" i="1"/>
  <c r="J33" i="1"/>
  <c r="I33" i="1"/>
  <c r="BJ32" i="1"/>
  <c r="BF32" i="1"/>
  <c r="BD32" i="1"/>
  <c r="AP32" i="1"/>
  <c r="BI32" i="1" s="1"/>
  <c r="AC32" i="1" s="1"/>
  <c r="AO32" i="1"/>
  <c r="H32" i="1" s="1"/>
  <c r="AK32" i="1"/>
  <c r="AJ32" i="1"/>
  <c r="AH32" i="1"/>
  <c r="AG32" i="1"/>
  <c r="AF32" i="1"/>
  <c r="AE32" i="1"/>
  <c r="AD32" i="1"/>
  <c r="Z32" i="1"/>
  <c r="J32" i="1"/>
  <c r="AL32" i="1" s="1"/>
  <c r="BJ31" i="1"/>
  <c r="BF31" i="1"/>
  <c r="BD31" i="1"/>
  <c r="AP31" i="1"/>
  <c r="I31" i="1" s="1"/>
  <c r="AO31" i="1"/>
  <c r="BH31" i="1" s="1"/>
  <c r="AB31" i="1" s="1"/>
  <c r="AK31" i="1"/>
  <c r="AJ31" i="1"/>
  <c r="AH31" i="1"/>
  <c r="AG31" i="1"/>
  <c r="AF31" i="1"/>
  <c r="AE31" i="1"/>
  <c r="AD31" i="1"/>
  <c r="Z31" i="1"/>
  <c r="J31" i="1"/>
  <c r="AL31" i="1" s="1"/>
  <c r="BJ30" i="1"/>
  <c r="BF30" i="1"/>
  <c r="BD30" i="1"/>
  <c r="AP30" i="1"/>
  <c r="BI30" i="1" s="1"/>
  <c r="AC30" i="1" s="1"/>
  <c r="AO30" i="1"/>
  <c r="BH30" i="1" s="1"/>
  <c r="AB30" i="1" s="1"/>
  <c r="AK30" i="1"/>
  <c r="AJ30" i="1"/>
  <c r="AH30" i="1"/>
  <c r="AG30" i="1"/>
  <c r="AF30" i="1"/>
  <c r="AE30" i="1"/>
  <c r="AD30" i="1"/>
  <c r="Z30" i="1"/>
  <c r="J30" i="1"/>
  <c r="AL30" i="1" s="1"/>
  <c r="H30" i="1"/>
  <c r="BJ29" i="1"/>
  <c r="BF29" i="1"/>
  <c r="BD29" i="1"/>
  <c r="AP29" i="1"/>
  <c r="BI29" i="1" s="1"/>
  <c r="AC29" i="1" s="1"/>
  <c r="AO29" i="1"/>
  <c r="BH29" i="1" s="1"/>
  <c r="AB29" i="1" s="1"/>
  <c r="AL29" i="1"/>
  <c r="AK29" i="1"/>
  <c r="AJ29" i="1"/>
  <c r="AH29" i="1"/>
  <c r="AG29" i="1"/>
  <c r="AF29" i="1"/>
  <c r="AE29" i="1"/>
  <c r="AD29" i="1"/>
  <c r="Z29" i="1"/>
  <c r="J29" i="1"/>
  <c r="I29" i="1"/>
  <c r="BJ28" i="1"/>
  <c r="BF28" i="1"/>
  <c r="BD28" i="1"/>
  <c r="AX28" i="1"/>
  <c r="AP28" i="1"/>
  <c r="BI28" i="1" s="1"/>
  <c r="AC28" i="1" s="1"/>
  <c r="AO28" i="1"/>
  <c r="H28" i="1" s="1"/>
  <c r="AK28" i="1"/>
  <c r="AJ28" i="1"/>
  <c r="AH28" i="1"/>
  <c r="AG28" i="1"/>
  <c r="AF28" i="1"/>
  <c r="AE28" i="1"/>
  <c r="AD28" i="1"/>
  <c r="Z28" i="1"/>
  <c r="J28" i="1"/>
  <c r="AL28" i="1" s="1"/>
  <c r="I28" i="1"/>
  <c r="BJ27" i="1"/>
  <c r="BF27" i="1"/>
  <c r="BD27" i="1"/>
  <c r="AP27" i="1"/>
  <c r="I27" i="1" s="1"/>
  <c r="AO27" i="1"/>
  <c r="BH27" i="1" s="1"/>
  <c r="AB27" i="1" s="1"/>
  <c r="AK27" i="1"/>
  <c r="AJ27" i="1"/>
  <c r="AH27" i="1"/>
  <c r="AG27" i="1"/>
  <c r="AF27" i="1"/>
  <c r="AE27" i="1"/>
  <c r="AD27" i="1"/>
  <c r="Z27" i="1"/>
  <c r="J27" i="1"/>
  <c r="AL27" i="1" s="1"/>
  <c r="BJ26" i="1"/>
  <c r="BF26" i="1"/>
  <c r="BD26" i="1"/>
  <c r="AX26" i="1"/>
  <c r="AP26" i="1"/>
  <c r="BI26" i="1" s="1"/>
  <c r="AC26" i="1" s="1"/>
  <c r="AO26" i="1"/>
  <c r="BH26" i="1" s="1"/>
  <c r="AB26" i="1" s="1"/>
  <c r="AK26" i="1"/>
  <c r="AJ26" i="1"/>
  <c r="AH26" i="1"/>
  <c r="AG26" i="1"/>
  <c r="AF26" i="1"/>
  <c r="AE26" i="1"/>
  <c r="AD26" i="1"/>
  <c r="Z26" i="1"/>
  <c r="J26" i="1"/>
  <c r="AL26" i="1" s="1"/>
  <c r="I26" i="1"/>
  <c r="H26" i="1"/>
  <c r="BJ25" i="1"/>
  <c r="BF25" i="1"/>
  <c r="BD25" i="1"/>
  <c r="AW25" i="1"/>
  <c r="AP25" i="1"/>
  <c r="BI25" i="1" s="1"/>
  <c r="AC25" i="1" s="1"/>
  <c r="AO25" i="1"/>
  <c r="BH25" i="1" s="1"/>
  <c r="AB25" i="1" s="1"/>
  <c r="AL25" i="1"/>
  <c r="AK25" i="1"/>
  <c r="AT23" i="1" s="1"/>
  <c r="AJ25" i="1"/>
  <c r="AH25" i="1"/>
  <c r="AG25" i="1"/>
  <c r="AF25" i="1"/>
  <c r="AE25" i="1"/>
  <c r="AD25" i="1"/>
  <c r="Z25" i="1"/>
  <c r="J25" i="1"/>
  <c r="I25" i="1"/>
  <c r="H25" i="1"/>
  <c r="BJ24" i="1"/>
  <c r="BF24" i="1"/>
  <c r="BD24" i="1"/>
  <c r="AX24" i="1"/>
  <c r="AP24" i="1"/>
  <c r="BI24" i="1" s="1"/>
  <c r="AC24" i="1" s="1"/>
  <c r="AO24" i="1"/>
  <c r="H24" i="1" s="1"/>
  <c r="AK24" i="1"/>
  <c r="AJ24" i="1"/>
  <c r="AH24" i="1"/>
  <c r="AG24" i="1"/>
  <c r="AF24" i="1"/>
  <c r="AE24" i="1"/>
  <c r="AD24" i="1"/>
  <c r="Z24" i="1"/>
  <c r="J24" i="1"/>
  <c r="I24" i="1"/>
  <c r="BJ22" i="1"/>
  <c r="BF22" i="1"/>
  <c r="BD22" i="1"/>
  <c r="AP22" i="1"/>
  <c r="BI22" i="1" s="1"/>
  <c r="AC22" i="1" s="1"/>
  <c r="AO22" i="1"/>
  <c r="BH22" i="1" s="1"/>
  <c r="AB22" i="1" s="1"/>
  <c r="AL22" i="1"/>
  <c r="AK22" i="1"/>
  <c r="AJ22" i="1"/>
  <c r="AH22" i="1"/>
  <c r="AG22" i="1"/>
  <c r="AF22" i="1"/>
  <c r="AE22" i="1"/>
  <c r="AD22" i="1"/>
  <c r="Z22" i="1"/>
  <c r="J22" i="1"/>
  <c r="I22" i="1"/>
  <c r="H22" i="1"/>
  <c r="BJ21" i="1"/>
  <c r="BF21" i="1"/>
  <c r="BD21" i="1"/>
  <c r="AP21" i="1"/>
  <c r="BI21" i="1" s="1"/>
  <c r="AC21" i="1" s="1"/>
  <c r="AO21" i="1"/>
  <c r="H21" i="1" s="1"/>
  <c r="AK21" i="1"/>
  <c r="AJ21" i="1"/>
  <c r="AH21" i="1"/>
  <c r="AG21" i="1"/>
  <c r="AF21" i="1"/>
  <c r="AE21" i="1"/>
  <c r="AD21" i="1"/>
  <c r="Z21" i="1"/>
  <c r="J21" i="1"/>
  <c r="AL21" i="1" s="1"/>
  <c r="BJ20" i="1"/>
  <c r="BF20" i="1"/>
  <c r="BD20" i="1"/>
  <c r="AW20" i="1"/>
  <c r="AP20" i="1"/>
  <c r="I20" i="1" s="1"/>
  <c r="AO20" i="1"/>
  <c r="BH20" i="1" s="1"/>
  <c r="AB20" i="1" s="1"/>
  <c r="AL20" i="1"/>
  <c r="AK20" i="1"/>
  <c r="AJ20" i="1"/>
  <c r="AH20" i="1"/>
  <c r="AG20" i="1"/>
  <c r="AF20" i="1"/>
  <c r="AE20" i="1"/>
  <c r="AD20" i="1"/>
  <c r="Z20" i="1"/>
  <c r="J20" i="1"/>
  <c r="H20" i="1"/>
  <c r="BJ19" i="1"/>
  <c r="BF19" i="1"/>
  <c r="BD19" i="1"/>
  <c r="AP19" i="1"/>
  <c r="BI19" i="1" s="1"/>
  <c r="AC19" i="1" s="1"/>
  <c r="AO19" i="1"/>
  <c r="BH19" i="1" s="1"/>
  <c r="AB19" i="1" s="1"/>
  <c r="AK19" i="1"/>
  <c r="AJ19" i="1"/>
  <c r="AH19" i="1"/>
  <c r="AG19" i="1"/>
  <c r="AF19" i="1"/>
  <c r="AE19" i="1"/>
  <c r="AD19" i="1"/>
  <c r="Z19" i="1"/>
  <c r="J19" i="1"/>
  <c r="AL19" i="1" s="1"/>
  <c r="BJ18" i="1"/>
  <c r="BF18" i="1"/>
  <c r="BD18" i="1"/>
  <c r="AW18" i="1"/>
  <c r="AP18" i="1"/>
  <c r="BI18" i="1" s="1"/>
  <c r="AC18" i="1" s="1"/>
  <c r="AO18" i="1"/>
  <c r="BH18" i="1" s="1"/>
  <c r="AB18" i="1" s="1"/>
  <c r="AL18" i="1"/>
  <c r="AK18" i="1"/>
  <c r="AJ18" i="1"/>
  <c r="AH18" i="1"/>
  <c r="AG18" i="1"/>
  <c r="AF18" i="1"/>
  <c r="AE18" i="1"/>
  <c r="AD18" i="1"/>
  <c r="Z18" i="1"/>
  <c r="J18" i="1"/>
  <c r="I18" i="1"/>
  <c r="H18" i="1"/>
  <c r="BJ17" i="1"/>
  <c r="BF17" i="1"/>
  <c r="BD17" i="1"/>
  <c r="AX17" i="1"/>
  <c r="AP17" i="1"/>
  <c r="BI17" i="1" s="1"/>
  <c r="AC17" i="1" s="1"/>
  <c r="AO17" i="1"/>
  <c r="H17" i="1" s="1"/>
  <c r="AK17" i="1"/>
  <c r="AJ17" i="1"/>
  <c r="AH17" i="1"/>
  <c r="AG17" i="1"/>
  <c r="AF17" i="1"/>
  <c r="AE17" i="1"/>
  <c r="AD17" i="1"/>
  <c r="Z17" i="1"/>
  <c r="J17" i="1"/>
  <c r="AL17" i="1" s="1"/>
  <c r="I17" i="1"/>
  <c r="BJ16" i="1"/>
  <c r="BF16" i="1"/>
  <c r="BD16" i="1"/>
  <c r="AP16" i="1"/>
  <c r="AX16" i="1" s="1"/>
  <c r="AO16" i="1"/>
  <c r="BH16" i="1" s="1"/>
  <c r="AB16" i="1" s="1"/>
  <c r="AL16" i="1"/>
  <c r="AK16" i="1"/>
  <c r="AJ16" i="1"/>
  <c r="AH16" i="1"/>
  <c r="AG16" i="1"/>
  <c r="AF16" i="1"/>
  <c r="AE16" i="1"/>
  <c r="AD16" i="1"/>
  <c r="Z16" i="1"/>
  <c r="J16" i="1"/>
  <c r="H16" i="1"/>
  <c r="BJ15" i="1"/>
  <c r="BF15" i="1"/>
  <c r="BD15" i="1"/>
  <c r="AX15" i="1"/>
  <c r="AP15" i="1"/>
  <c r="BI15" i="1" s="1"/>
  <c r="AC15" i="1" s="1"/>
  <c r="AO15" i="1"/>
  <c r="BH15" i="1" s="1"/>
  <c r="AB15" i="1" s="1"/>
  <c r="AK15" i="1"/>
  <c r="AJ15" i="1"/>
  <c r="AH15" i="1"/>
  <c r="AG15" i="1"/>
  <c r="AF15" i="1"/>
  <c r="AE15" i="1"/>
  <c r="AD15" i="1"/>
  <c r="Z15" i="1"/>
  <c r="J15" i="1"/>
  <c r="AL15" i="1" s="1"/>
  <c r="I15" i="1"/>
  <c r="BJ14" i="1"/>
  <c r="BF14" i="1"/>
  <c r="BD14" i="1"/>
  <c r="AW14" i="1"/>
  <c r="AP14" i="1"/>
  <c r="BI14" i="1" s="1"/>
  <c r="AC14" i="1" s="1"/>
  <c r="AO14" i="1"/>
  <c r="BH14" i="1" s="1"/>
  <c r="AB14" i="1" s="1"/>
  <c r="AK14" i="1"/>
  <c r="AJ14" i="1"/>
  <c r="AH14" i="1"/>
  <c r="AG14" i="1"/>
  <c r="AF14" i="1"/>
  <c r="AE14" i="1"/>
  <c r="AD14" i="1"/>
  <c r="Z14" i="1"/>
  <c r="J14" i="1"/>
  <c r="AL14" i="1" s="1"/>
  <c r="I14" i="1"/>
  <c r="H14" i="1"/>
  <c r="BJ13" i="1"/>
  <c r="BF13" i="1"/>
  <c r="BD13" i="1"/>
  <c r="AP13" i="1"/>
  <c r="BI13" i="1" s="1"/>
  <c r="AC13" i="1" s="1"/>
  <c r="AO13" i="1"/>
  <c r="H13" i="1" s="1"/>
  <c r="AK13" i="1"/>
  <c r="AT12" i="1" s="1"/>
  <c r="AJ13" i="1"/>
  <c r="AH13" i="1"/>
  <c r="AG13" i="1"/>
  <c r="AF13" i="1"/>
  <c r="AE13" i="1"/>
  <c r="AD13" i="1"/>
  <c r="Z13" i="1"/>
  <c r="J13" i="1"/>
  <c r="AU1" i="1"/>
  <c r="AT1" i="1"/>
  <c r="AS1" i="1"/>
  <c r="I874" i="1" l="1"/>
  <c r="I873" i="1" s="1"/>
  <c r="H867" i="1"/>
  <c r="H866" i="1" s="1"/>
  <c r="AL867" i="1"/>
  <c r="AU866" i="1" s="1"/>
  <c r="F38" i="7"/>
  <c r="I38" i="7" s="1"/>
  <c r="AS868" i="1"/>
  <c r="AS863" i="1"/>
  <c r="BI872" i="1"/>
  <c r="AW870" i="1"/>
  <c r="BH864" i="1"/>
  <c r="AT863" i="1"/>
  <c r="AT868" i="1"/>
  <c r="AW864" i="1"/>
  <c r="AU863" i="1"/>
  <c r="AW865" i="1"/>
  <c r="BH870" i="1"/>
  <c r="H869" i="1"/>
  <c r="H868" i="1" s="1"/>
  <c r="AL869" i="1"/>
  <c r="AU868" i="1" s="1"/>
  <c r="BI440" i="1"/>
  <c r="AE440" i="1" s="1"/>
  <c r="AX440" i="1"/>
  <c r="AV440" i="1" s="1"/>
  <c r="BI570" i="1"/>
  <c r="AE570" i="1" s="1"/>
  <c r="AX570" i="1"/>
  <c r="H728" i="1"/>
  <c r="AW728" i="1"/>
  <c r="AT110" i="1"/>
  <c r="BH194" i="1"/>
  <c r="AD194" i="1" s="1"/>
  <c r="AW194" i="1"/>
  <c r="H27" i="1"/>
  <c r="H35" i="1"/>
  <c r="BH238" i="1"/>
  <c r="AD238" i="1" s="1"/>
  <c r="AW238" i="1"/>
  <c r="AW295" i="1"/>
  <c r="BH295" i="1"/>
  <c r="AD295" i="1" s="1"/>
  <c r="BI304" i="1"/>
  <c r="AE304" i="1" s="1"/>
  <c r="AX304" i="1"/>
  <c r="I304" i="1"/>
  <c r="BI329" i="1"/>
  <c r="AE329" i="1" s="1"/>
  <c r="AX329" i="1"/>
  <c r="AV329" i="1" s="1"/>
  <c r="BI347" i="1"/>
  <c r="AE347" i="1" s="1"/>
  <c r="AX347" i="1"/>
  <c r="I347" i="1"/>
  <c r="BH457" i="1"/>
  <c r="AD457" i="1" s="1"/>
  <c r="AW457" i="1"/>
  <c r="BH464" i="1"/>
  <c r="AD464" i="1" s="1"/>
  <c r="AW464" i="1"/>
  <c r="H464" i="1"/>
  <c r="I570" i="1"/>
  <c r="I687" i="1"/>
  <c r="BI687" i="1"/>
  <c r="AG687" i="1" s="1"/>
  <c r="AX698" i="1"/>
  <c r="BI698" i="1"/>
  <c r="AG698" i="1" s="1"/>
  <c r="AW860" i="1"/>
  <c r="H860" i="1"/>
  <c r="BH860" i="1"/>
  <c r="AF860" i="1" s="1"/>
  <c r="C20" i="6"/>
  <c r="I19" i="1"/>
  <c r="AX19" i="1"/>
  <c r="AW27" i="1"/>
  <c r="AW35" i="1"/>
  <c r="H38" i="1"/>
  <c r="AW43" i="1"/>
  <c r="H46" i="1"/>
  <c r="AW51" i="1"/>
  <c r="H54" i="1"/>
  <c r="H63" i="1"/>
  <c r="AX63" i="1"/>
  <c r="BC74" i="1"/>
  <c r="AT100" i="1"/>
  <c r="BH223" i="1"/>
  <c r="AD223" i="1" s="1"/>
  <c r="H223" i="1"/>
  <c r="BH242" i="1"/>
  <c r="AD242" i="1" s="1"/>
  <c r="AW242" i="1"/>
  <c r="I275" i="1"/>
  <c r="BI275" i="1"/>
  <c r="AE275" i="1" s="1"/>
  <c r="I321" i="1"/>
  <c r="BI333" i="1"/>
  <c r="AE333" i="1" s="1"/>
  <c r="AX333" i="1"/>
  <c r="I383" i="1"/>
  <c r="AX383" i="1"/>
  <c r="AW438" i="1"/>
  <c r="AV438" i="1" s="1"/>
  <c r="BH438" i="1"/>
  <c r="AD438" i="1" s="1"/>
  <c r="H438" i="1"/>
  <c r="H457" i="1"/>
  <c r="I698" i="1"/>
  <c r="BC698" i="1"/>
  <c r="AV698" i="1"/>
  <c r="BI860" i="1"/>
  <c r="AG860" i="1" s="1"/>
  <c r="AX860" i="1"/>
  <c r="I860" i="1"/>
  <c r="BH616" i="1"/>
  <c r="AF616" i="1" s="1"/>
  <c r="AW616" i="1"/>
  <c r="H51" i="1"/>
  <c r="BH117" i="1"/>
  <c r="AB117" i="1" s="1"/>
  <c r="H117" i="1"/>
  <c r="BH310" i="1"/>
  <c r="AD310" i="1" s="1"/>
  <c r="H310" i="1"/>
  <c r="AS58" i="1"/>
  <c r="I61" i="1"/>
  <c r="AX61" i="1"/>
  <c r="AX72" i="1"/>
  <c r="BI101" i="1"/>
  <c r="AC101" i="1" s="1"/>
  <c r="AX101" i="1"/>
  <c r="BH151" i="1"/>
  <c r="AB151" i="1" s="1"/>
  <c r="AW151" i="1"/>
  <c r="H151" i="1"/>
  <c r="BH171" i="1"/>
  <c r="H171" i="1"/>
  <c r="AX321" i="1"/>
  <c r="AV321" i="1" s="1"/>
  <c r="BI422" i="1"/>
  <c r="AE422" i="1" s="1"/>
  <c r="AX422" i="1"/>
  <c r="I422" i="1"/>
  <c r="BI468" i="1"/>
  <c r="AE468" i="1" s="1"/>
  <c r="AX468" i="1"/>
  <c r="I468" i="1"/>
  <c r="AS471" i="1"/>
  <c r="BI474" i="1"/>
  <c r="AX474" i="1"/>
  <c r="I474" i="1"/>
  <c r="AT546" i="1"/>
  <c r="BI684" i="1"/>
  <c r="AG684" i="1" s="1"/>
  <c r="AX684" i="1"/>
  <c r="I684" i="1"/>
  <c r="AX861" i="1"/>
  <c r="I861" i="1"/>
  <c r="BI861" i="1"/>
  <c r="AG861" i="1" s="1"/>
  <c r="I128" i="1"/>
  <c r="BH136" i="1"/>
  <c r="AB136" i="1" s="1"/>
  <c r="H136" i="1"/>
  <c r="AW136" i="1"/>
  <c r="H174" i="1"/>
  <c r="H173" i="1" s="1"/>
  <c r="I194" i="1"/>
  <c r="BH219" i="1"/>
  <c r="AD219" i="1" s="1"/>
  <c r="H219" i="1"/>
  <c r="H97" i="1"/>
  <c r="AW97" i="1"/>
  <c r="BH125" i="1"/>
  <c r="AB125" i="1" s="1"/>
  <c r="H125" i="1"/>
  <c r="AW281" i="1"/>
  <c r="I30" i="1"/>
  <c r="H15" i="1"/>
  <c r="H12" i="1" s="1"/>
  <c r="AW22" i="1"/>
  <c r="AX36" i="1"/>
  <c r="AX44" i="1"/>
  <c r="AX52" i="1"/>
  <c r="BI84" i="1"/>
  <c r="AC84" i="1" s="1"/>
  <c r="AX84" i="1"/>
  <c r="I84" i="1"/>
  <c r="H88" i="1"/>
  <c r="BH88" i="1"/>
  <c r="AB88" i="1" s="1"/>
  <c r="I101" i="1"/>
  <c r="AW310" i="1"/>
  <c r="BH344" i="1"/>
  <c r="AD344" i="1" s="1"/>
  <c r="AW344" i="1"/>
  <c r="BI363" i="1"/>
  <c r="AE363" i="1" s="1"/>
  <c r="AX363" i="1"/>
  <c r="I363" i="1"/>
  <c r="AW380" i="1"/>
  <c r="BI395" i="1"/>
  <c r="AE395" i="1" s="1"/>
  <c r="AX395" i="1"/>
  <c r="I395" i="1"/>
  <c r="AW432" i="1"/>
  <c r="BH432" i="1"/>
  <c r="AD432" i="1" s="1"/>
  <c r="AX453" i="1"/>
  <c r="BI453" i="1"/>
  <c r="AE453" i="1" s="1"/>
  <c r="BH503" i="1"/>
  <c r="AD503" i="1" s="1"/>
  <c r="H503" i="1"/>
  <c r="I542" i="1"/>
  <c r="BI312" i="1"/>
  <c r="AE312" i="1" s="1"/>
  <c r="AX312" i="1"/>
  <c r="BI336" i="1"/>
  <c r="AE336" i="1" s="1"/>
  <c r="AX336" i="1"/>
  <c r="BH198" i="1"/>
  <c r="AD198" i="1" s="1"/>
  <c r="AW198" i="1"/>
  <c r="BI111" i="1"/>
  <c r="AC111" i="1" s="1"/>
  <c r="AX111" i="1"/>
  <c r="I111" i="1"/>
  <c r="H296" i="1"/>
  <c r="AW296" i="1"/>
  <c r="AW64" i="1"/>
  <c r="BI88" i="1"/>
  <c r="AC88" i="1" s="1"/>
  <c r="AX88" i="1"/>
  <c r="BC88" i="1" s="1"/>
  <c r="H115" i="1"/>
  <c r="BH115" i="1"/>
  <c r="AB115" i="1" s="1"/>
  <c r="AW115" i="1"/>
  <c r="BH148" i="1"/>
  <c r="AB148" i="1" s="1"/>
  <c r="H148" i="1"/>
  <c r="AW210" i="1"/>
  <c r="H235" i="1"/>
  <c r="AW279" i="1"/>
  <c r="BH279" i="1"/>
  <c r="AD279" i="1" s="1"/>
  <c r="H279" i="1"/>
  <c r="AX302" i="1"/>
  <c r="BI302" i="1"/>
  <c r="AE302" i="1" s="1"/>
  <c r="H308" i="1"/>
  <c r="BH308" i="1"/>
  <c r="AD308" i="1" s="1"/>
  <c r="BI432" i="1"/>
  <c r="AE432" i="1" s="1"/>
  <c r="AX432" i="1"/>
  <c r="AV432" i="1" s="1"/>
  <c r="AW436" i="1"/>
  <c r="BH436" i="1"/>
  <c r="AD436" i="1" s="1"/>
  <c r="AW444" i="1"/>
  <c r="BH444" i="1"/>
  <c r="AD444" i="1" s="1"/>
  <c r="BH472" i="1"/>
  <c r="AD472" i="1" s="1"/>
  <c r="H472" i="1"/>
  <c r="BH665" i="1"/>
  <c r="AF665" i="1" s="1"/>
  <c r="AW665" i="1"/>
  <c r="BI818" i="1"/>
  <c r="AG818" i="1" s="1"/>
  <c r="AX818" i="1"/>
  <c r="I818" i="1"/>
  <c r="H828" i="1"/>
  <c r="AT829" i="1"/>
  <c r="H43" i="1"/>
  <c r="I222" i="1"/>
  <c r="J273" i="1"/>
  <c r="I13" i="1"/>
  <c r="AX13" i="1"/>
  <c r="H31" i="1"/>
  <c r="H39" i="1"/>
  <c r="H47" i="1"/>
  <c r="H55" i="1"/>
  <c r="I88" i="1"/>
  <c r="BH286" i="1"/>
  <c r="AD286" i="1" s="1"/>
  <c r="AW286" i="1"/>
  <c r="I302" i="1"/>
  <c r="AW302" i="1"/>
  <c r="AX344" i="1"/>
  <c r="AX472" i="1"/>
  <c r="BI472" i="1"/>
  <c r="AE472" i="1" s="1"/>
  <c r="AT188" i="1"/>
  <c r="H238" i="1"/>
  <c r="H295" i="1"/>
  <c r="J12" i="1"/>
  <c r="AS12" i="1"/>
  <c r="AW31" i="1"/>
  <c r="AW39" i="1"/>
  <c r="H42" i="1"/>
  <c r="AW47" i="1"/>
  <c r="H50" i="1"/>
  <c r="AW55" i="1"/>
  <c r="AX59" i="1"/>
  <c r="AX115" i="1"/>
  <c r="AS142" i="1"/>
  <c r="I229" i="1"/>
  <c r="AX229" i="1"/>
  <c r="BI233" i="1"/>
  <c r="AE233" i="1" s="1"/>
  <c r="AX233" i="1"/>
  <c r="I233" i="1"/>
  <c r="H286" i="1"/>
  <c r="AW308" i="1"/>
  <c r="BC308" i="1" s="1"/>
  <c r="BI325" i="1"/>
  <c r="AE325" i="1" s="1"/>
  <c r="AX325" i="1"/>
  <c r="I331" i="1"/>
  <c r="AX331" i="1"/>
  <c r="AW356" i="1"/>
  <c r="BH419" i="1"/>
  <c r="AD419" i="1" s="1"/>
  <c r="AW419" i="1"/>
  <c r="AX430" i="1"/>
  <c r="AV430" i="1" s="1"/>
  <c r="AV436" i="1"/>
  <c r="I472" i="1"/>
  <c r="I471" i="1" s="1"/>
  <c r="AW472" i="1"/>
  <c r="BH479" i="1"/>
  <c r="AW479" i="1"/>
  <c r="H479" i="1"/>
  <c r="BH530" i="1"/>
  <c r="AD530" i="1" s="1"/>
  <c r="H530" i="1"/>
  <c r="I645" i="1"/>
  <c r="AX645" i="1"/>
  <c r="H658" i="1"/>
  <c r="I663" i="1"/>
  <c r="BI663" i="1"/>
  <c r="AG663" i="1" s="1"/>
  <c r="BH670" i="1"/>
  <c r="AF670" i="1" s="1"/>
  <c r="H670" i="1"/>
  <c r="BH389" i="1"/>
  <c r="AD389" i="1" s="1"/>
  <c r="H389" i="1"/>
  <c r="BH401" i="1"/>
  <c r="AD401" i="1" s="1"/>
  <c r="H401" i="1"/>
  <c r="BI434" i="1"/>
  <c r="AE434" i="1" s="1"/>
  <c r="AX434" i="1"/>
  <c r="I440" i="1"/>
  <c r="H19" i="1"/>
  <c r="H107" i="1"/>
  <c r="BH107" i="1"/>
  <c r="AB107" i="1" s="1"/>
  <c r="BC333" i="1"/>
  <c r="J58" i="1"/>
  <c r="AU79" i="1"/>
  <c r="AX92" i="1"/>
  <c r="AV92" i="1" s="1"/>
  <c r="I92" i="1"/>
  <c r="BI92" i="1"/>
  <c r="AC92" i="1" s="1"/>
  <c r="BI123" i="1"/>
  <c r="AC123" i="1" s="1"/>
  <c r="AX123" i="1"/>
  <c r="I123" i="1"/>
  <c r="AW166" i="1"/>
  <c r="BI169" i="1"/>
  <c r="AX169" i="1"/>
  <c r="BI201" i="1"/>
  <c r="AE201" i="1" s="1"/>
  <c r="AX201" i="1"/>
  <c r="I201" i="1"/>
  <c r="I266" i="1"/>
  <c r="I323" i="1"/>
  <c r="BI323" i="1"/>
  <c r="AE323" i="1" s="1"/>
  <c r="BH392" i="1"/>
  <c r="AD392" i="1" s="1"/>
  <c r="AW392" i="1"/>
  <c r="AL472" i="1"/>
  <c r="AU471" i="1" s="1"/>
  <c r="J471" i="1"/>
  <c r="AX477" i="1"/>
  <c r="BI477" i="1"/>
  <c r="AE477" i="1" s="1"/>
  <c r="BH490" i="1"/>
  <c r="AD490" i="1" s="1"/>
  <c r="AW490" i="1"/>
  <c r="BH814" i="1"/>
  <c r="AF814" i="1" s="1"/>
  <c r="H814" i="1"/>
  <c r="BH91" i="1"/>
  <c r="AB91" i="1" s="1"/>
  <c r="AW91" i="1"/>
  <c r="BC91" i="1" s="1"/>
  <c r="I65" i="1"/>
  <c r="AX65" i="1"/>
  <c r="AW86" i="1"/>
  <c r="BH86" i="1"/>
  <c r="AB86" i="1" s="1"/>
  <c r="H86" i="1"/>
  <c r="AW106" i="1"/>
  <c r="BC106" i="1" s="1"/>
  <c r="BH106" i="1"/>
  <c r="AB106" i="1" s="1"/>
  <c r="BI131" i="1"/>
  <c r="AC131" i="1" s="1"/>
  <c r="AX131" i="1"/>
  <c r="I131" i="1"/>
  <c r="H159" i="1"/>
  <c r="I182" i="1"/>
  <c r="AX182" i="1"/>
  <c r="BI186" i="1"/>
  <c r="AE186" i="1" s="1"/>
  <c r="AX186" i="1"/>
  <c r="I186" i="1"/>
  <c r="BI245" i="1"/>
  <c r="AE245" i="1" s="1"/>
  <c r="AX245" i="1"/>
  <c r="I245" i="1"/>
  <c r="BH267" i="1"/>
  <c r="AD267" i="1" s="1"/>
  <c r="H267" i="1"/>
  <c r="I283" i="1"/>
  <c r="BI283" i="1"/>
  <c r="AE283" i="1" s="1"/>
  <c r="AX283" i="1"/>
  <c r="BI291" i="1"/>
  <c r="AE291" i="1" s="1"/>
  <c r="AX323" i="1"/>
  <c r="H392" i="1"/>
  <c r="BH416" i="1"/>
  <c r="AD416" i="1" s="1"/>
  <c r="H416" i="1"/>
  <c r="BI442" i="1"/>
  <c r="AE442" i="1" s="1"/>
  <c r="AX442" i="1"/>
  <c r="AV442" i="1" s="1"/>
  <c r="BH487" i="1"/>
  <c r="AD487" i="1" s="1"/>
  <c r="H487" i="1"/>
  <c r="H490" i="1"/>
  <c r="BI501" i="1"/>
  <c r="AE501" i="1" s="1"/>
  <c r="AX501" i="1"/>
  <c r="I501" i="1"/>
  <c r="BI581" i="1"/>
  <c r="AE581" i="1" s="1"/>
  <c r="AX581" i="1"/>
  <c r="BI652" i="1"/>
  <c r="AG652" i="1" s="1"/>
  <c r="AX652" i="1"/>
  <c r="I652" i="1"/>
  <c r="BI753" i="1"/>
  <c r="AG753" i="1" s="1"/>
  <c r="AX753" i="1"/>
  <c r="BI596" i="1"/>
  <c r="AE596" i="1" s="1"/>
  <c r="AX596" i="1"/>
  <c r="I625" i="1"/>
  <c r="BI625" i="1"/>
  <c r="AG625" i="1" s="1"/>
  <c r="AX625" i="1"/>
  <c r="BC16" i="1"/>
  <c r="AW16" i="1"/>
  <c r="AV16" i="1" s="1"/>
  <c r="I21" i="1"/>
  <c r="AX21" i="1"/>
  <c r="J23" i="1"/>
  <c r="AS23" i="1"/>
  <c r="AW29" i="1"/>
  <c r="AX32" i="1"/>
  <c r="AX40" i="1"/>
  <c r="AX48" i="1"/>
  <c r="AX56" i="1"/>
  <c r="AU66" i="1"/>
  <c r="I78" i="1"/>
  <c r="AX78" i="1"/>
  <c r="AS103" i="1"/>
  <c r="BH113" i="1"/>
  <c r="AB113" i="1" s="1"/>
  <c r="H113" i="1"/>
  <c r="AS110" i="1"/>
  <c r="AX157" i="1"/>
  <c r="BI277" i="1"/>
  <c r="AE277" i="1" s="1"/>
  <c r="AX277" i="1"/>
  <c r="AX306" i="1"/>
  <c r="BI306" i="1"/>
  <c r="AE306" i="1" s="1"/>
  <c r="BH340" i="1"/>
  <c r="AD340" i="1" s="1"/>
  <c r="AW340" i="1"/>
  <c r="BH365" i="1"/>
  <c r="AD365" i="1" s="1"/>
  <c r="H365" i="1"/>
  <c r="I388" i="1"/>
  <c r="I400" i="1"/>
  <c r="BH412" i="1"/>
  <c r="AD412" i="1" s="1"/>
  <c r="H412" i="1"/>
  <c r="AW434" i="1"/>
  <c r="BH434" i="1"/>
  <c r="AD434" i="1" s="1"/>
  <c r="AW446" i="1"/>
  <c r="BH446" i="1"/>
  <c r="AD446" i="1" s="1"/>
  <c r="H446" i="1"/>
  <c r="AV463" i="1"/>
  <c r="BC463" i="1"/>
  <c r="BH518" i="1"/>
  <c r="AD518" i="1" s="1"/>
  <c r="H518" i="1"/>
  <c r="H742" i="1"/>
  <c r="BH742" i="1"/>
  <c r="AF742" i="1" s="1"/>
  <c r="AW742" i="1"/>
  <c r="I753" i="1"/>
  <c r="AT66" i="1"/>
  <c r="BI75" i="1"/>
  <c r="AC75" i="1" s="1"/>
  <c r="H83" i="1"/>
  <c r="J17" i="3" s="1"/>
  <c r="H95" i="1"/>
  <c r="AT94" i="1"/>
  <c r="AU100" i="1"/>
  <c r="BH108" i="1"/>
  <c r="AB108" i="1" s="1"/>
  <c r="BC321" i="1"/>
  <c r="AT409" i="1"/>
  <c r="BI445" i="1"/>
  <c r="AE445" i="1" s="1"/>
  <c r="BI447" i="1"/>
  <c r="AE447" i="1" s="1"/>
  <c r="BH459" i="1"/>
  <c r="AD459" i="1" s="1"/>
  <c r="BI463" i="1"/>
  <c r="AE463" i="1" s="1"/>
  <c r="BH491" i="1"/>
  <c r="AD491" i="1" s="1"/>
  <c r="H491" i="1"/>
  <c r="BI497" i="1"/>
  <c r="AE497" i="1" s="1"/>
  <c r="AX497" i="1"/>
  <c r="AT602" i="1"/>
  <c r="I637" i="1"/>
  <c r="AX637" i="1"/>
  <c r="BI637" i="1"/>
  <c r="AG637" i="1" s="1"/>
  <c r="AW736" i="1"/>
  <c r="H736" i="1"/>
  <c r="AX739" i="1"/>
  <c r="AV739" i="1" s="1"/>
  <c r="I739" i="1"/>
  <c r="BI828" i="1"/>
  <c r="AG828" i="1" s="1"/>
  <c r="AX828" i="1"/>
  <c r="I828" i="1"/>
  <c r="AV69" i="1"/>
  <c r="H71" i="1"/>
  <c r="BC73" i="1"/>
  <c r="BC111" i="1"/>
  <c r="I162" i="1"/>
  <c r="AW226" i="1"/>
  <c r="AW306" i="1"/>
  <c r="AW325" i="1"/>
  <c r="BC325" i="1" s="1"/>
  <c r="AT337" i="1"/>
  <c r="I577" i="1"/>
  <c r="BI577" i="1"/>
  <c r="H656" i="1"/>
  <c r="BH656" i="1"/>
  <c r="AF656" i="1" s="1"/>
  <c r="BH682" i="1"/>
  <c r="AF682" i="1" s="1"/>
  <c r="H682" i="1"/>
  <c r="BH702" i="1"/>
  <c r="AF702" i="1" s="1"/>
  <c r="H702" i="1"/>
  <c r="BI761" i="1"/>
  <c r="AG761" i="1" s="1"/>
  <c r="AX761" i="1"/>
  <c r="BI764" i="1"/>
  <c r="AG764" i="1" s="1"/>
  <c r="AX764" i="1"/>
  <c r="BI848" i="1"/>
  <c r="AG848" i="1" s="1"/>
  <c r="AX848" i="1"/>
  <c r="I848" i="1"/>
  <c r="BC861" i="1"/>
  <c r="H79" i="1"/>
  <c r="AS79" i="1"/>
  <c r="AU83" i="1"/>
  <c r="AS155" i="1"/>
  <c r="I249" i="1"/>
  <c r="AX249" i="1"/>
  <c r="AX267" i="1"/>
  <c r="AX288" i="1"/>
  <c r="BH312" i="1"/>
  <c r="AD312" i="1" s="1"/>
  <c r="BC329" i="1"/>
  <c r="AX340" i="1"/>
  <c r="I351" i="1"/>
  <c r="AX351" i="1"/>
  <c r="I375" i="1"/>
  <c r="AX375" i="1"/>
  <c r="AX426" i="1"/>
  <c r="AX444" i="1"/>
  <c r="AX446" i="1"/>
  <c r="AV446" i="1" s="1"/>
  <c r="H450" i="1"/>
  <c r="AX460" i="1"/>
  <c r="H462" i="1"/>
  <c r="I464" i="1"/>
  <c r="AX482" i="1"/>
  <c r="BI482" i="1"/>
  <c r="AE482" i="1" s="1"/>
  <c r="H485" i="1"/>
  <c r="AW485" i="1"/>
  <c r="BH485" i="1"/>
  <c r="AD485" i="1" s="1"/>
  <c r="BI516" i="1"/>
  <c r="AE516" i="1" s="1"/>
  <c r="AX516" i="1"/>
  <c r="BI528" i="1"/>
  <c r="AE528" i="1" s="1"/>
  <c r="AX528" i="1"/>
  <c r="AX577" i="1"/>
  <c r="BI656" i="1"/>
  <c r="AG656" i="1" s="1"/>
  <c r="AX656" i="1"/>
  <c r="I691" i="1"/>
  <c r="BI691" i="1"/>
  <c r="AG691" i="1" s="1"/>
  <c r="I761" i="1"/>
  <c r="H855" i="1"/>
  <c r="AW855" i="1"/>
  <c r="BH855" i="1"/>
  <c r="AF855" i="1" s="1"/>
  <c r="AX87" i="1"/>
  <c r="H102" i="1"/>
  <c r="AX179" i="1"/>
  <c r="AS180" i="1"/>
  <c r="AX205" i="1"/>
  <c r="AW258" i="1"/>
  <c r="AW404" i="1"/>
  <c r="AV450" i="1"/>
  <c r="AX464" i="1"/>
  <c r="BI485" i="1"/>
  <c r="AE485" i="1" s="1"/>
  <c r="I485" i="1"/>
  <c r="I492" i="1"/>
  <c r="BI492" i="1"/>
  <c r="AE492" i="1" s="1"/>
  <c r="H541" i="1"/>
  <c r="BH541" i="1"/>
  <c r="AD541" i="1" s="1"/>
  <c r="AW541" i="1"/>
  <c r="H550" i="1"/>
  <c r="H587" i="1"/>
  <c r="BI600" i="1"/>
  <c r="AE600" i="1" s="1"/>
  <c r="AX600" i="1"/>
  <c r="I600" i="1"/>
  <c r="AU602" i="1"/>
  <c r="AX647" i="1"/>
  <c r="BI647" i="1"/>
  <c r="AG647" i="1" s="1"/>
  <c r="AW656" i="1"/>
  <c r="AW702" i="1"/>
  <c r="BI712" i="1"/>
  <c r="AG712" i="1" s="1"/>
  <c r="AX712" i="1"/>
  <c r="J801" i="1"/>
  <c r="AX802" i="1"/>
  <c r="AV802" i="1" s="1"/>
  <c r="I802" i="1"/>
  <c r="BI802" i="1"/>
  <c r="AG802" i="1" s="1"/>
  <c r="AS829" i="1"/>
  <c r="H839" i="1"/>
  <c r="AW839" i="1"/>
  <c r="BH839" i="1"/>
  <c r="AF839" i="1" s="1"/>
  <c r="AX855" i="1"/>
  <c r="BI855" i="1"/>
  <c r="AG855" i="1" s="1"/>
  <c r="AV858" i="1"/>
  <c r="AW71" i="1"/>
  <c r="BC71" i="1" s="1"/>
  <c r="AW80" i="1"/>
  <c r="AV80" i="1" s="1"/>
  <c r="AW90" i="1"/>
  <c r="AX93" i="1"/>
  <c r="AV93" i="1" s="1"/>
  <c r="AW95" i="1"/>
  <c r="AW99" i="1"/>
  <c r="AV99" i="1" s="1"/>
  <c r="AW102" i="1"/>
  <c r="BC102" i="1" s="1"/>
  <c r="AW109" i="1"/>
  <c r="AX114" i="1"/>
  <c r="I135" i="1"/>
  <c r="AX135" i="1"/>
  <c r="AW143" i="1"/>
  <c r="AX165" i="1"/>
  <c r="AW183" i="1"/>
  <c r="AV294" i="1"/>
  <c r="AX315" i="1"/>
  <c r="AX320" i="1"/>
  <c r="I332" i="1"/>
  <c r="AX332" i="1"/>
  <c r="H345" i="1"/>
  <c r="I414" i="1"/>
  <c r="AX414" i="1"/>
  <c r="BC429" i="1"/>
  <c r="BC431" i="1"/>
  <c r="AV435" i="1"/>
  <c r="AX452" i="1"/>
  <c r="AV452" i="1" s="1"/>
  <c r="AT475" i="1"/>
  <c r="AX485" i="1"/>
  <c r="BH499" i="1"/>
  <c r="AD499" i="1" s="1"/>
  <c r="H499" i="1"/>
  <c r="H537" i="1"/>
  <c r="H548" i="1"/>
  <c r="BH548" i="1"/>
  <c r="AD548" i="1" s="1"/>
  <c r="H585" i="1"/>
  <c r="BH585" i="1"/>
  <c r="AD585" i="1" s="1"/>
  <c r="I597" i="1"/>
  <c r="AS602" i="1"/>
  <c r="BH612" i="1"/>
  <c r="AF612" i="1" s="1"/>
  <c r="AW612" i="1"/>
  <c r="I647" i="1"/>
  <c r="BI653" i="1"/>
  <c r="AG653" i="1" s="1"/>
  <c r="I653" i="1"/>
  <c r="BI697" i="1"/>
  <c r="AG697" i="1" s="1"/>
  <c r="AX697" i="1"/>
  <c r="I743" i="1"/>
  <c r="BH758" i="1"/>
  <c r="AF758" i="1" s="1"/>
  <c r="AW758" i="1"/>
  <c r="I775" i="1"/>
  <c r="AX775" i="1"/>
  <c r="BI823" i="1"/>
  <c r="AG823" i="1" s="1"/>
  <c r="AX823" i="1"/>
  <c r="I858" i="1"/>
  <c r="AX858" i="1"/>
  <c r="BI858" i="1"/>
  <c r="AG858" i="1" s="1"/>
  <c r="I82" i="1"/>
  <c r="I79" i="1" s="1"/>
  <c r="F15" i="4" s="1"/>
  <c r="AT89" i="1"/>
  <c r="BI97" i="1"/>
  <c r="AC97" i="1" s="1"/>
  <c r="H103" i="1"/>
  <c r="AW140" i="1"/>
  <c r="AU155" i="1"/>
  <c r="AW176" i="1"/>
  <c r="AT180" i="1"/>
  <c r="AX193" i="1"/>
  <c r="H227" i="1"/>
  <c r="I237" i="1"/>
  <c r="AX237" i="1"/>
  <c r="AW246" i="1"/>
  <c r="AW280" i="1"/>
  <c r="AX301" i="1"/>
  <c r="AW322" i="1"/>
  <c r="AW324" i="1"/>
  <c r="AW328" i="1"/>
  <c r="I343" i="1"/>
  <c r="AX343" i="1"/>
  <c r="AW345" i="1"/>
  <c r="AW348" i="1"/>
  <c r="AX367" i="1"/>
  <c r="AW372" i="1"/>
  <c r="AW384" i="1"/>
  <c r="AW396" i="1"/>
  <c r="AW423" i="1"/>
  <c r="BI426" i="1"/>
  <c r="AE426" i="1" s="1"/>
  <c r="AW433" i="1"/>
  <c r="BC435" i="1"/>
  <c r="AW439" i="1"/>
  <c r="BH510" i="1"/>
  <c r="AW510" i="1"/>
  <c r="I523" i="1"/>
  <c r="AX523" i="1"/>
  <c r="I558" i="1"/>
  <c r="BI558" i="1"/>
  <c r="AE558" i="1" s="1"/>
  <c r="I566" i="1"/>
  <c r="BI566" i="1"/>
  <c r="AE566" i="1" s="1"/>
  <c r="AX566" i="1"/>
  <c r="BI585" i="1"/>
  <c r="AE585" i="1" s="1"/>
  <c r="AX585" i="1"/>
  <c r="BI635" i="1"/>
  <c r="AG635" i="1" s="1"/>
  <c r="I635" i="1"/>
  <c r="AX635" i="1"/>
  <c r="BC635" i="1" s="1"/>
  <c r="BH639" i="1"/>
  <c r="AF639" i="1" s="1"/>
  <c r="AW639" i="1"/>
  <c r="BC639" i="1" s="1"/>
  <c r="BI680" i="1"/>
  <c r="AG680" i="1" s="1"/>
  <c r="I680" i="1"/>
  <c r="AX680" i="1"/>
  <c r="AV697" i="1"/>
  <c r="BH730" i="1"/>
  <c r="AF730" i="1" s="1"/>
  <c r="H730" i="1"/>
  <c r="AV758" i="1"/>
  <c r="AW840" i="1"/>
  <c r="BC840" i="1" s="1"/>
  <c r="H840" i="1"/>
  <c r="BH840" i="1"/>
  <c r="AF840" i="1" s="1"/>
  <c r="BH845" i="1"/>
  <c r="AF845" i="1" s="1"/>
  <c r="AW845" i="1"/>
  <c r="H845" i="1"/>
  <c r="AW132" i="1"/>
  <c r="H170" i="1"/>
  <c r="AX253" i="1"/>
  <c r="AW262" i="1"/>
  <c r="AW268" i="1"/>
  <c r="H274" i="1"/>
  <c r="BH284" i="1"/>
  <c r="AD284" i="1" s="1"/>
  <c r="AX303" i="1"/>
  <c r="AV303" i="1" s="1"/>
  <c r="AX328" i="1"/>
  <c r="BH462" i="1"/>
  <c r="AD462" i="1" s="1"/>
  <c r="AX467" i="1"/>
  <c r="AX473" i="1"/>
  <c r="AV473" i="1" s="1"/>
  <c r="H476" i="1"/>
  <c r="H475" i="1" s="1"/>
  <c r="AT480" i="1"/>
  <c r="AX508" i="1"/>
  <c r="AS511" i="1"/>
  <c r="AX535" i="1"/>
  <c r="BH538" i="1"/>
  <c r="AD538" i="1" s="1"/>
  <c r="H538" i="1"/>
  <c r="AX558" i="1"/>
  <c r="I585" i="1"/>
  <c r="AW585" i="1"/>
  <c r="BH604" i="1"/>
  <c r="AD604" i="1" s="1"/>
  <c r="AW604" i="1"/>
  <c r="AU609" i="1"/>
  <c r="I621" i="1"/>
  <c r="BI621" i="1"/>
  <c r="AG621" i="1" s="1"/>
  <c r="AX621" i="1"/>
  <c r="H632" i="1"/>
  <c r="AW632" i="1"/>
  <c r="AV635" i="1"/>
  <c r="H639" i="1"/>
  <c r="BH798" i="1"/>
  <c r="AF798" i="1" s="1"/>
  <c r="AW798" i="1"/>
  <c r="BI840" i="1"/>
  <c r="AG840" i="1" s="1"/>
  <c r="AX840" i="1"/>
  <c r="I840" i="1"/>
  <c r="AX845" i="1"/>
  <c r="BI845" i="1"/>
  <c r="AG845" i="1" s="1"/>
  <c r="BI71" i="1"/>
  <c r="AC71" i="1" s="1"/>
  <c r="BC72" i="1"/>
  <c r="AW75" i="1"/>
  <c r="AW82" i="1"/>
  <c r="BC82" i="1" s="1"/>
  <c r="AW85" i="1"/>
  <c r="AV85" i="1" s="1"/>
  <c r="BH90" i="1"/>
  <c r="AB90" i="1" s="1"/>
  <c r="BI93" i="1"/>
  <c r="AC93" i="1" s="1"/>
  <c r="BC96" i="1"/>
  <c r="H98" i="1"/>
  <c r="BI99" i="1"/>
  <c r="AC99" i="1" s="1"/>
  <c r="AW108" i="1"/>
  <c r="BC108" i="1" s="1"/>
  <c r="BI114" i="1"/>
  <c r="AC114" i="1" s="1"/>
  <c r="AW116" i="1"/>
  <c r="I119" i="1"/>
  <c r="AX119" i="1"/>
  <c r="H121" i="1"/>
  <c r="I124" i="1"/>
  <c r="I127" i="1"/>
  <c r="AX127" i="1"/>
  <c r="AX150" i="1"/>
  <c r="I170" i="1"/>
  <c r="I187" i="1"/>
  <c r="I225" i="1"/>
  <c r="AX225" i="1"/>
  <c r="H259" i="1"/>
  <c r="AW274" i="1"/>
  <c r="AX276" i="1"/>
  <c r="BC276" i="1" s="1"/>
  <c r="AW282" i="1"/>
  <c r="BC282" i="1" s="1"/>
  <c r="BI286" i="1"/>
  <c r="AE286" i="1" s="1"/>
  <c r="BC287" i="1"/>
  <c r="BI290" i="1"/>
  <c r="AE290" i="1" s="1"/>
  <c r="BH292" i="1"/>
  <c r="AD292" i="1" s="1"/>
  <c r="AX305" i="1"/>
  <c r="BC305" i="1" s="1"/>
  <c r="AX309" i="1"/>
  <c r="AW313" i="1"/>
  <c r="AW326" i="1"/>
  <c r="AW341" i="1"/>
  <c r="AW364" i="1"/>
  <c r="I391" i="1"/>
  <c r="AX391" i="1"/>
  <c r="H405" i="1"/>
  <c r="AW408" i="1"/>
  <c r="AW411" i="1"/>
  <c r="I418" i="1"/>
  <c r="AX418" i="1"/>
  <c r="AW441" i="1"/>
  <c r="BC443" i="1"/>
  <c r="H445" i="1"/>
  <c r="AW447" i="1"/>
  <c r="BH452" i="1"/>
  <c r="AD452" i="1" s="1"/>
  <c r="BH454" i="1"/>
  <c r="AD454" i="1" s="1"/>
  <c r="AT471" i="1"/>
  <c r="BI479" i="1"/>
  <c r="BH486" i="1"/>
  <c r="AD486" i="1" s="1"/>
  <c r="AW486" i="1"/>
  <c r="AS480" i="1"/>
  <c r="I520" i="1"/>
  <c r="I532" i="1"/>
  <c r="H572" i="1"/>
  <c r="BH583" i="1"/>
  <c r="AD583" i="1" s="1"/>
  <c r="H583" i="1"/>
  <c r="H604" i="1"/>
  <c r="BH654" i="1"/>
  <c r="AF654" i="1" s="1"/>
  <c r="H654" i="1"/>
  <c r="BH661" i="1"/>
  <c r="AF661" i="1" s="1"/>
  <c r="AW661" i="1"/>
  <c r="I695" i="1"/>
  <c r="BI695" i="1"/>
  <c r="AG695" i="1" s="1"/>
  <c r="AX695" i="1"/>
  <c r="BI704" i="1"/>
  <c r="AG704" i="1" s="1"/>
  <c r="AX704" i="1"/>
  <c r="I704" i="1"/>
  <c r="H716" i="1"/>
  <c r="AW716" i="1"/>
  <c r="I845" i="1"/>
  <c r="AT155" i="1"/>
  <c r="AU180" i="1"/>
  <c r="AW278" i="1"/>
  <c r="BI280" i="1"/>
  <c r="AE280" i="1" s="1"/>
  <c r="AX299" i="1"/>
  <c r="BI311" i="1"/>
  <c r="AE311" i="1" s="1"/>
  <c r="AX313" i="1"/>
  <c r="AW330" i="1"/>
  <c r="H361" i="1"/>
  <c r="AX403" i="1"/>
  <c r="BI433" i="1"/>
  <c r="AE433" i="1" s="1"/>
  <c r="BI435" i="1"/>
  <c r="AE435" i="1" s="1"/>
  <c r="AW445" i="1"/>
  <c r="AW451" i="1"/>
  <c r="AW459" i="1"/>
  <c r="I483" i="1"/>
  <c r="AX483" i="1"/>
  <c r="AV483" i="1" s="1"/>
  <c r="AX520" i="1"/>
  <c r="AX532" i="1"/>
  <c r="H545" i="1"/>
  <c r="BH545" i="1"/>
  <c r="AW560" i="1"/>
  <c r="H570" i="1"/>
  <c r="BH570" i="1"/>
  <c r="AD570" i="1" s="1"/>
  <c r="BC593" i="1"/>
  <c r="BI601" i="1"/>
  <c r="AE601" i="1" s="1"/>
  <c r="AX601" i="1"/>
  <c r="AV601" i="1" s="1"/>
  <c r="BI668" i="1"/>
  <c r="AG668" i="1" s="1"/>
  <c r="AX668" i="1"/>
  <c r="I668" i="1"/>
  <c r="AW677" i="1"/>
  <c r="H686" i="1"/>
  <c r="BH698" i="1"/>
  <c r="AF698" i="1" s="1"/>
  <c r="H698" i="1"/>
  <c r="I731" i="1"/>
  <c r="AX731" i="1"/>
  <c r="I806" i="1"/>
  <c r="AX806" i="1"/>
  <c r="AV806" i="1" s="1"/>
  <c r="BH501" i="1"/>
  <c r="AD501" i="1" s="1"/>
  <c r="AW516" i="1"/>
  <c r="AW528" i="1"/>
  <c r="AX545" i="1"/>
  <c r="AX548" i="1"/>
  <c r="AW553" i="1"/>
  <c r="I556" i="1"/>
  <c r="AS569" i="1"/>
  <c r="AW600" i="1"/>
  <c r="AV600" i="1" s="1"/>
  <c r="I608" i="1"/>
  <c r="AT609" i="1"/>
  <c r="I615" i="1"/>
  <c r="I619" i="1"/>
  <c r="H627" i="1"/>
  <c r="I643" i="1"/>
  <c r="AW649" i="1"/>
  <c r="I664" i="1"/>
  <c r="AW706" i="1"/>
  <c r="I721" i="1"/>
  <c r="AX728" i="1"/>
  <c r="AW733" i="1"/>
  <c r="I812" i="1"/>
  <c r="AX812" i="1"/>
  <c r="I826" i="1"/>
  <c r="I831" i="1"/>
  <c r="AV831" i="1"/>
  <c r="AX835" i="1"/>
  <c r="AX839" i="1"/>
  <c r="H853" i="1"/>
  <c r="AW869" i="1"/>
  <c r="BC869" i="1" s="1"/>
  <c r="AT557" i="1"/>
  <c r="H568" i="1"/>
  <c r="AT569" i="1"/>
  <c r="BC697" i="1"/>
  <c r="BH704" i="1"/>
  <c r="AF704" i="1" s="1"/>
  <c r="H744" i="1"/>
  <c r="BH753" i="1"/>
  <c r="AF753" i="1" s="1"/>
  <c r="AW768" i="1"/>
  <c r="BH806" i="1"/>
  <c r="AF806" i="1" s="1"/>
  <c r="AW809" i="1"/>
  <c r="H821" i="1"/>
  <c r="AX826" i="1"/>
  <c r="AV826" i="1" s="1"/>
  <c r="AW853" i="1"/>
  <c r="AV853" i="1" s="1"/>
  <c r="F35" i="7"/>
  <c r="I35" i="7" s="1"/>
  <c r="AL874" i="1"/>
  <c r="AU873" i="1" s="1"/>
  <c r="I611" i="1"/>
  <c r="AX613" i="1"/>
  <c r="BC643" i="1"/>
  <c r="I648" i="1"/>
  <c r="H666" i="1"/>
  <c r="H669" i="1"/>
  <c r="I685" i="1"/>
  <c r="I701" i="1"/>
  <c r="AX703" i="1"/>
  <c r="AX768" i="1"/>
  <c r="AX771" i="1"/>
  <c r="I776" i="1"/>
  <c r="I782" i="1"/>
  <c r="AX782" i="1"/>
  <c r="AS786" i="1"/>
  <c r="I793" i="1"/>
  <c r="AX793" i="1"/>
  <c r="AS816" i="1"/>
  <c r="I819" i="1"/>
  <c r="AV819" i="1"/>
  <c r="AW833" i="1"/>
  <c r="AW837" i="1"/>
  <c r="AX844" i="1"/>
  <c r="AV844" i="1" s="1"/>
  <c r="AX846" i="1"/>
  <c r="AV846" i="1" s="1"/>
  <c r="AX851" i="1"/>
  <c r="H857" i="1"/>
  <c r="AW859" i="1"/>
  <c r="H865" i="1"/>
  <c r="H863" i="1" s="1"/>
  <c r="BH483" i="1"/>
  <c r="AD483" i="1" s="1"/>
  <c r="I493" i="1"/>
  <c r="AW493" i="1"/>
  <c r="H495" i="1"/>
  <c r="AX509" i="1"/>
  <c r="H514" i="1"/>
  <c r="AW521" i="1"/>
  <c r="H526" i="1"/>
  <c r="AW533" i="1"/>
  <c r="H561" i="1"/>
  <c r="AX608" i="1"/>
  <c r="BC608" i="1" s="1"/>
  <c r="AW615" i="1"/>
  <c r="BC619" i="1"/>
  <c r="AW623" i="1"/>
  <c r="BC623" i="1" s="1"/>
  <c r="AW627" i="1"/>
  <c r="BC627" i="1" s="1"/>
  <c r="AX631" i="1"/>
  <c r="I638" i="1"/>
  <c r="AX643" i="1"/>
  <c r="AX664" i="1"/>
  <c r="I669" i="1"/>
  <c r="AW673" i="1"/>
  <c r="H726" i="1"/>
  <c r="AW757" i="1"/>
  <c r="AW765" i="1"/>
  <c r="AT786" i="1"/>
  <c r="H799" i="1"/>
  <c r="AX819" i="1"/>
  <c r="AS557" i="1"/>
  <c r="AT590" i="1"/>
  <c r="AX689" i="1"/>
  <c r="BC689" i="1" s="1"/>
  <c r="AX693" i="1"/>
  <c r="BC693" i="1" s="1"/>
  <c r="I720" i="1"/>
  <c r="AX721" i="1"/>
  <c r="BC721" i="1" s="1"/>
  <c r="AX760" i="1"/>
  <c r="AS766" i="1"/>
  <c r="AW805" i="1"/>
  <c r="I822" i="1"/>
  <c r="AX822" i="1"/>
  <c r="BI831" i="1"/>
  <c r="AG831" i="1" s="1"/>
  <c r="BI835" i="1"/>
  <c r="AG835" i="1" s="1"/>
  <c r="AV849" i="1"/>
  <c r="AV865" i="1"/>
  <c r="AX874" i="1"/>
  <c r="AX547" i="1"/>
  <c r="AX574" i="1"/>
  <c r="J602" i="1"/>
  <c r="G40" i="4" s="1"/>
  <c r="I40" i="4" s="1"/>
  <c r="I607" i="1"/>
  <c r="AX611" i="1"/>
  <c r="BC611" i="1" s="1"/>
  <c r="AX634" i="1"/>
  <c r="AW638" i="1"/>
  <c r="I642" i="1"/>
  <c r="I646" i="1"/>
  <c r="AX646" i="1"/>
  <c r="I660" i="1"/>
  <c r="AX660" i="1"/>
  <c r="H662" i="1"/>
  <c r="BI703" i="1"/>
  <c r="AG703" i="1" s="1"/>
  <c r="AS707" i="1"/>
  <c r="J786" i="1"/>
  <c r="H861" i="1"/>
  <c r="AW498" i="1"/>
  <c r="BI500" i="1"/>
  <c r="AE500" i="1" s="1"/>
  <c r="H507" i="1"/>
  <c r="AX515" i="1"/>
  <c r="AW582" i="1"/>
  <c r="AX589" i="1"/>
  <c r="AX595" i="1"/>
  <c r="AX599" i="1"/>
  <c r="AX603" i="1"/>
  <c r="H605" i="1"/>
  <c r="AX607" i="1"/>
  <c r="I626" i="1"/>
  <c r="AW626" i="1"/>
  <c r="I630" i="1"/>
  <c r="AX630" i="1"/>
  <c r="H636" i="1"/>
  <c r="AX638" i="1"/>
  <c r="AX642" i="1"/>
  <c r="AW669" i="1"/>
  <c r="AW688" i="1"/>
  <c r="AW692" i="1"/>
  <c r="AX701" i="1"/>
  <c r="BC701" i="1" s="1"/>
  <c r="AX705" i="1"/>
  <c r="AX708" i="1"/>
  <c r="AW720" i="1"/>
  <c r="AX727" i="1"/>
  <c r="AW729" i="1"/>
  <c r="AX732" i="1"/>
  <c r="I750" i="1"/>
  <c r="AS801" i="1"/>
  <c r="H804" i="1"/>
  <c r="AW813" i="1"/>
  <c r="H817" i="1"/>
  <c r="AX830" i="1"/>
  <c r="BC830" i="1" s="1"/>
  <c r="H834" i="1"/>
  <c r="AW841" i="1"/>
  <c r="AV841" i="1" s="1"/>
  <c r="BI846" i="1"/>
  <c r="AG846" i="1" s="1"/>
  <c r="I856" i="1"/>
  <c r="BC857" i="1"/>
  <c r="J863" i="1"/>
  <c r="J862" i="1" s="1"/>
  <c r="G49" i="4" s="1"/>
  <c r="AV750" i="1"/>
  <c r="AV769" i="1"/>
  <c r="AT801" i="1"/>
  <c r="BC806" i="1"/>
  <c r="AU816" i="1"/>
  <c r="AU829" i="1"/>
  <c r="BH874" i="1"/>
  <c r="BC483" i="1"/>
  <c r="BI540" i="1"/>
  <c r="AE540" i="1" s="1"/>
  <c r="BI555" i="1"/>
  <c r="AE555" i="1" s="1"/>
  <c r="BI599" i="1"/>
  <c r="AE599" i="1" s="1"/>
  <c r="AS609" i="1"/>
  <c r="BH626" i="1"/>
  <c r="AF626" i="1" s="1"/>
  <c r="BH688" i="1"/>
  <c r="AF688" i="1" s="1"/>
  <c r="BH692" i="1"/>
  <c r="AF692" i="1" s="1"/>
  <c r="AW823" i="1"/>
  <c r="I844" i="1"/>
  <c r="AW867" i="1"/>
  <c r="BC867" i="1" s="1"/>
  <c r="AX30" i="1"/>
  <c r="G13" i="4"/>
  <c r="I13" i="4" s="1"/>
  <c r="L14" i="3"/>
  <c r="N14" i="3" s="1"/>
  <c r="E15" i="4"/>
  <c r="J16" i="3"/>
  <c r="BC97" i="1"/>
  <c r="G12" i="4"/>
  <c r="I12" i="4" s="1"/>
  <c r="L13" i="3"/>
  <c r="N13" i="3" s="1"/>
  <c r="E16" i="4"/>
  <c r="G11" i="4"/>
  <c r="I11" i="4" s="1"/>
  <c r="L12" i="3"/>
  <c r="N12" i="3" s="1"/>
  <c r="BC90" i="1"/>
  <c r="AU94" i="1"/>
  <c r="K16" i="3"/>
  <c r="E20" i="4"/>
  <c r="J21" i="3"/>
  <c r="BI16" i="1"/>
  <c r="AC16" i="1" s="1"/>
  <c r="C28" i="6"/>
  <c r="F28" i="6" s="1"/>
  <c r="I16" i="1"/>
  <c r="I12" i="1" s="1"/>
  <c r="AL13" i="1"/>
  <c r="AW13" i="1"/>
  <c r="AW17" i="1"/>
  <c r="AX20" i="1"/>
  <c r="BC20" i="1" s="1"/>
  <c r="AW21" i="1"/>
  <c r="AL24" i="1"/>
  <c r="AU23" i="1" s="1"/>
  <c r="AW24" i="1"/>
  <c r="AX27" i="1"/>
  <c r="BC27" i="1" s="1"/>
  <c r="AW28" i="1"/>
  <c r="H29" i="1"/>
  <c r="AX31" i="1"/>
  <c r="BC31" i="1" s="1"/>
  <c r="I32" i="1"/>
  <c r="AW32" i="1"/>
  <c r="H33" i="1"/>
  <c r="AX35" i="1"/>
  <c r="BC35" i="1" s="1"/>
  <c r="I36" i="1"/>
  <c r="AW36" i="1"/>
  <c r="H37" i="1"/>
  <c r="AX39" i="1"/>
  <c r="BC39" i="1" s="1"/>
  <c r="I40" i="1"/>
  <c r="AW40" i="1"/>
  <c r="H41" i="1"/>
  <c r="AX43" i="1"/>
  <c r="BC43" i="1" s="1"/>
  <c r="I44" i="1"/>
  <c r="AW44" i="1"/>
  <c r="H45" i="1"/>
  <c r="AX47" i="1"/>
  <c r="I48" i="1"/>
  <c r="AW48" i="1"/>
  <c r="H49" i="1"/>
  <c r="AX51" i="1"/>
  <c r="BC51" i="1" s="1"/>
  <c r="I52" i="1"/>
  <c r="AW52" i="1"/>
  <c r="H53" i="1"/>
  <c r="AX55" i="1"/>
  <c r="BC55" i="1" s="1"/>
  <c r="I56" i="1"/>
  <c r="AW56" i="1"/>
  <c r="H57" i="1"/>
  <c r="I59" i="1"/>
  <c r="AL59" i="1"/>
  <c r="AU58" i="1" s="1"/>
  <c r="AW59" i="1"/>
  <c r="H60" i="1"/>
  <c r="AX62" i="1"/>
  <c r="AV62" i="1" s="1"/>
  <c r="I63" i="1"/>
  <c r="AW63" i="1"/>
  <c r="H64" i="1"/>
  <c r="J66" i="1"/>
  <c r="BI67" i="1"/>
  <c r="AC67" i="1" s="1"/>
  <c r="AX68" i="1"/>
  <c r="AV68" i="1" s="1"/>
  <c r="BH68" i="1"/>
  <c r="AB68" i="1" s="1"/>
  <c r="AV71" i="1"/>
  <c r="AV72" i="1"/>
  <c r="I73" i="1"/>
  <c r="I66" i="1" s="1"/>
  <c r="BI73" i="1"/>
  <c r="AC73" i="1" s="1"/>
  <c r="H76" i="1"/>
  <c r="BH77" i="1"/>
  <c r="AB77" i="1" s="1"/>
  <c r="AW78" i="1"/>
  <c r="BH78" i="1"/>
  <c r="AB78" i="1" s="1"/>
  <c r="J79" i="1"/>
  <c r="AV82" i="1"/>
  <c r="J83" i="1"/>
  <c r="AW84" i="1"/>
  <c r="BH84" i="1"/>
  <c r="AB84" i="1" s="1"/>
  <c r="BC85" i="1"/>
  <c r="BI86" i="1"/>
  <c r="AC86" i="1" s="1"/>
  <c r="AW87" i="1"/>
  <c r="AV88" i="1"/>
  <c r="I90" i="1"/>
  <c r="I89" i="1" s="1"/>
  <c r="BI90" i="1"/>
  <c r="AC90" i="1" s="1"/>
  <c r="H93" i="1"/>
  <c r="H89" i="1" s="1"/>
  <c r="H96" i="1"/>
  <c r="BH97" i="1"/>
  <c r="AB97" i="1" s="1"/>
  <c r="AW98" i="1"/>
  <c r="BC99" i="1"/>
  <c r="AV102" i="1"/>
  <c r="J103" i="1"/>
  <c r="AW104" i="1"/>
  <c r="BC105" i="1"/>
  <c r="BI106" i="1"/>
  <c r="AC106" i="1" s="1"/>
  <c r="AW107" i="1"/>
  <c r="AV108" i="1"/>
  <c r="I109" i="1"/>
  <c r="BI109" i="1"/>
  <c r="AC109" i="1" s="1"/>
  <c r="BI112" i="1"/>
  <c r="AC112" i="1" s="1"/>
  <c r="AX112" i="1"/>
  <c r="BI118" i="1"/>
  <c r="AC118" i="1" s="1"/>
  <c r="AW119" i="1"/>
  <c r="BH119" i="1"/>
  <c r="AB119" i="1" s="1"/>
  <c r="AX122" i="1"/>
  <c r="I122" i="1"/>
  <c r="BI122" i="1"/>
  <c r="AC122" i="1" s="1"/>
  <c r="AW123" i="1"/>
  <c r="H123" i="1"/>
  <c r="AX138" i="1"/>
  <c r="I138" i="1"/>
  <c r="BI138" i="1"/>
  <c r="AC138" i="1" s="1"/>
  <c r="AW139" i="1"/>
  <c r="H139" i="1"/>
  <c r="AX153" i="1"/>
  <c r="I153" i="1"/>
  <c r="BI153" i="1"/>
  <c r="AC153" i="1" s="1"/>
  <c r="AW154" i="1"/>
  <c r="H154" i="1"/>
  <c r="E24" i="4"/>
  <c r="J25" i="3"/>
  <c r="AT175" i="1"/>
  <c r="AW179" i="1"/>
  <c r="H179" i="1"/>
  <c r="AX181" i="1"/>
  <c r="I181" i="1"/>
  <c r="BI181" i="1"/>
  <c r="AE181" i="1" s="1"/>
  <c r="AW201" i="1"/>
  <c r="H201" i="1"/>
  <c r="AX204" i="1"/>
  <c r="I204" i="1"/>
  <c r="BI204" i="1"/>
  <c r="AE204" i="1" s="1"/>
  <c r="AW217" i="1"/>
  <c r="H217" i="1"/>
  <c r="AX220" i="1"/>
  <c r="I220" i="1"/>
  <c r="BI220" i="1"/>
  <c r="AE220" i="1" s="1"/>
  <c r="AW233" i="1"/>
  <c r="H233" i="1"/>
  <c r="AX236" i="1"/>
  <c r="I236" i="1"/>
  <c r="BI236" i="1"/>
  <c r="AE236" i="1" s="1"/>
  <c r="AW249" i="1"/>
  <c r="H249" i="1"/>
  <c r="AX252" i="1"/>
  <c r="I252" i="1"/>
  <c r="BI252" i="1"/>
  <c r="AE252" i="1" s="1"/>
  <c r="AW265" i="1"/>
  <c r="H265" i="1"/>
  <c r="AW269" i="1"/>
  <c r="H269" i="1"/>
  <c r="AU273" i="1"/>
  <c r="BH277" i="1"/>
  <c r="AD277" i="1" s="1"/>
  <c r="AW277" i="1"/>
  <c r="H277" i="1"/>
  <c r="AT273" i="1"/>
  <c r="AX282" i="1"/>
  <c r="I282" i="1"/>
  <c r="BI282" i="1"/>
  <c r="AE282" i="1" s="1"/>
  <c r="BH293" i="1"/>
  <c r="AD293" i="1" s="1"/>
  <c r="AW293" i="1"/>
  <c r="H293" i="1"/>
  <c r="AX298" i="1"/>
  <c r="I298" i="1"/>
  <c r="BI298" i="1"/>
  <c r="AE298" i="1" s="1"/>
  <c r="BI20" i="1"/>
  <c r="AC20" i="1" s="1"/>
  <c r="BH21" i="1"/>
  <c r="AB21" i="1" s="1"/>
  <c r="BH24" i="1"/>
  <c r="AB24" i="1" s="1"/>
  <c r="BI27" i="1"/>
  <c r="AC27" i="1" s="1"/>
  <c r="BH28" i="1"/>
  <c r="AB28" i="1" s="1"/>
  <c r="BI31" i="1"/>
  <c r="AC31" i="1" s="1"/>
  <c r="BH32" i="1"/>
  <c r="AB32" i="1" s="1"/>
  <c r="BI35" i="1"/>
  <c r="AC35" i="1" s="1"/>
  <c r="BH36" i="1"/>
  <c r="AB36" i="1" s="1"/>
  <c r="BI39" i="1"/>
  <c r="AC39" i="1" s="1"/>
  <c r="BH40" i="1"/>
  <c r="AB40" i="1" s="1"/>
  <c r="BI43" i="1"/>
  <c r="AC43" i="1" s="1"/>
  <c r="BH44" i="1"/>
  <c r="AB44" i="1" s="1"/>
  <c r="BI47" i="1"/>
  <c r="AC47" i="1" s="1"/>
  <c r="BH48" i="1"/>
  <c r="AB48" i="1" s="1"/>
  <c r="BI51" i="1"/>
  <c r="AC51" i="1" s="1"/>
  <c r="BH52" i="1"/>
  <c r="AB52" i="1" s="1"/>
  <c r="BI55" i="1"/>
  <c r="AC55" i="1" s="1"/>
  <c r="BH56" i="1"/>
  <c r="AB56" i="1" s="1"/>
  <c r="BH59" i="1"/>
  <c r="AB59" i="1" s="1"/>
  <c r="I60" i="1"/>
  <c r="H61" i="1"/>
  <c r="I64" i="1"/>
  <c r="H65" i="1"/>
  <c r="BC68" i="1"/>
  <c r="G17" i="4"/>
  <c r="I17" i="4" s="1"/>
  <c r="L18" i="3"/>
  <c r="N18" i="3" s="1"/>
  <c r="K19" i="3"/>
  <c r="F18" i="4"/>
  <c r="H94" i="1"/>
  <c r="AV96" i="1"/>
  <c r="H101" i="1"/>
  <c r="H100" i="1" s="1"/>
  <c r="I102" i="1"/>
  <c r="BI102" i="1"/>
  <c r="AC102" i="1" s="1"/>
  <c r="AX107" i="1"/>
  <c r="K21" i="2" s="1"/>
  <c r="AX117" i="1"/>
  <c r="I117" i="1"/>
  <c r="AW118" i="1"/>
  <c r="H118" i="1"/>
  <c r="AX126" i="1"/>
  <c r="I126" i="1"/>
  <c r="BI126" i="1"/>
  <c r="AC126" i="1" s="1"/>
  <c r="AW127" i="1"/>
  <c r="H127" i="1"/>
  <c r="AL146" i="1"/>
  <c r="AU142" i="1" s="1"/>
  <c r="J142" i="1"/>
  <c r="AX156" i="1"/>
  <c r="I156" i="1"/>
  <c r="BI156" i="1"/>
  <c r="AX160" i="1"/>
  <c r="I160" i="1"/>
  <c r="BI160" i="1"/>
  <c r="AX164" i="1"/>
  <c r="I164" i="1"/>
  <c r="BI164" i="1"/>
  <c r="AX168" i="1"/>
  <c r="I168" i="1"/>
  <c r="BI168" i="1"/>
  <c r="AX172" i="1"/>
  <c r="I172" i="1"/>
  <c r="BI172" i="1"/>
  <c r="AW182" i="1"/>
  <c r="H182" i="1"/>
  <c r="AX185" i="1"/>
  <c r="I185" i="1"/>
  <c r="BI185" i="1"/>
  <c r="AE185" i="1" s="1"/>
  <c r="AW189" i="1"/>
  <c r="H189" i="1"/>
  <c r="AX192" i="1"/>
  <c r="I192" i="1"/>
  <c r="BI192" i="1"/>
  <c r="AE192" i="1" s="1"/>
  <c r="AW205" i="1"/>
  <c r="H205" i="1"/>
  <c r="AX208" i="1"/>
  <c r="I208" i="1"/>
  <c r="BI208" i="1"/>
  <c r="AE208" i="1" s="1"/>
  <c r="AW221" i="1"/>
  <c r="H221" i="1"/>
  <c r="AX224" i="1"/>
  <c r="I224" i="1"/>
  <c r="BI224" i="1"/>
  <c r="AE224" i="1" s="1"/>
  <c r="AW237" i="1"/>
  <c r="H237" i="1"/>
  <c r="AX240" i="1"/>
  <c r="I240" i="1"/>
  <c r="BI240" i="1"/>
  <c r="AE240" i="1" s="1"/>
  <c r="AW253" i="1"/>
  <c r="H253" i="1"/>
  <c r="AX256" i="1"/>
  <c r="I256" i="1"/>
  <c r="BI256" i="1"/>
  <c r="AE256" i="1" s="1"/>
  <c r="G28" i="4"/>
  <c r="I28" i="4" s="1"/>
  <c r="L29" i="3"/>
  <c r="N29" i="3" s="1"/>
  <c r="BC281" i="1"/>
  <c r="AV281" i="1"/>
  <c r="BC297" i="1"/>
  <c r="AV297" i="1"/>
  <c r="BC298" i="1"/>
  <c r="BH13" i="1"/>
  <c r="AB13" i="1" s="1"/>
  <c r="C21" i="6"/>
  <c r="C27" i="6"/>
  <c r="AX14" i="1"/>
  <c r="K12" i="2" s="1"/>
  <c r="AW15" i="1"/>
  <c r="AX18" i="1"/>
  <c r="AV18" i="1" s="1"/>
  <c r="AW19" i="1"/>
  <c r="AX22" i="1"/>
  <c r="BC22" i="1" s="1"/>
  <c r="AX25" i="1"/>
  <c r="BC25" i="1" s="1"/>
  <c r="AW26" i="1"/>
  <c r="AX29" i="1"/>
  <c r="BC29" i="1" s="1"/>
  <c r="AW30" i="1"/>
  <c r="AX33" i="1"/>
  <c r="AV33" i="1" s="1"/>
  <c r="AW34" i="1"/>
  <c r="AX37" i="1"/>
  <c r="BC37" i="1" s="1"/>
  <c r="AW38" i="1"/>
  <c r="AX41" i="1"/>
  <c r="BC41" i="1" s="1"/>
  <c r="AW42" i="1"/>
  <c r="AX45" i="1"/>
  <c r="BC45" i="1" s="1"/>
  <c r="AW46" i="1"/>
  <c r="AX49" i="1"/>
  <c r="AV49" i="1" s="1"/>
  <c r="AW50" i="1"/>
  <c r="AX53" i="1"/>
  <c r="BC53" i="1" s="1"/>
  <c r="AW54" i="1"/>
  <c r="AX57" i="1"/>
  <c r="BC57" i="1" s="1"/>
  <c r="AX60" i="1"/>
  <c r="BC60" i="1" s="1"/>
  <c r="AW61" i="1"/>
  <c r="AX64" i="1"/>
  <c r="BC64" i="1" s="1"/>
  <c r="AW65" i="1"/>
  <c r="H68" i="1"/>
  <c r="BH69" i="1"/>
  <c r="AB69" i="1" s="1"/>
  <c r="AW70" i="1"/>
  <c r="BI72" i="1"/>
  <c r="AC72" i="1" s="1"/>
  <c r="AV73" i="1"/>
  <c r="AV74" i="1"/>
  <c r="BH76" i="1"/>
  <c r="AB76" i="1" s="1"/>
  <c r="BH80" i="1"/>
  <c r="AB80" i="1" s="1"/>
  <c r="AW81" i="1"/>
  <c r="I87" i="1"/>
  <c r="AV90" i="1"/>
  <c r="AV91" i="1"/>
  <c r="BH93" i="1"/>
  <c r="AB93" i="1" s="1"/>
  <c r="J94" i="1"/>
  <c r="BH96" i="1"/>
  <c r="AB96" i="1" s="1"/>
  <c r="J100" i="1"/>
  <c r="I100" i="1"/>
  <c r="AW101" i="1"/>
  <c r="I107" i="1"/>
  <c r="AV111" i="1"/>
  <c r="AV115" i="1"/>
  <c r="BC115" i="1"/>
  <c r="BI117" i="1"/>
  <c r="AC117" i="1" s="1"/>
  <c r="BH127" i="1"/>
  <c r="AB127" i="1" s="1"/>
  <c r="AX130" i="1"/>
  <c r="I130" i="1"/>
  <c r="BI130" i="1"/>
  <c r="AC130" i="1" s="1"/>
  <c r="AW131" i="1"/>
  <c r="H131" i="1"/>
  <c r="AX145" i="1"/>
  <c r="I145" i="1"/>
  <c r="BI145" i="1"/>
  <c r="AC145" i="1" s="1"/>
  <c r="AW146" i="1"/>
  <c r="H146" i="1"/>
  <c r="AW157" i="1"/>
  <c r="H157" i="1"/>
  <c r="AW161" i="1"/>
  <c r="H161" i="1"/>
  <c r="AW165" i="1"/>
  <c r="H165" i="1"/>
  <c r="AW169" i="1"/>
  <c r="H169" i="1"/>
  <c r="AL179" i="1"/>
  <c r="AU175" i="1" s="1"/>
  <c r="J175" i="1"/>
  <c r="BH182" i="1"/>
  <c r="AD182" i="1" s="1"/>
  <c r="AW186" i="1"/>
  <c r="H186" i="1"/>
  <c r="BH189" i="1"/>
  <c r="AD189" i="1" s="1"/>
  <c r="AS188" i="1"/>
  <c r="AW193" i="1"/>
  <c r="H193" i="1"/>
  <c r="AX196" i="1"/>
  <c r="I196" i="1"/>
  <c r="BI196" i="1"/>
  <c r="AE196" i="1" s="1"/>
  <c r="BH205" i="1"/>
  <c r="AD205" i="1" s="1"/>
  <c r="AW209" i="1"/>
  <c r="H209" i="1"/>
  <c r="AX212" i="1"/>
  <c r="I212" i="1"/>
  <c r="BI212" i="1"/>
  <c r="AE212" i="1" s="1"/>
  <c r="BH221" i="1"/>
  <c r="AD221" i="1" s="1"/>
  <c r="AW225" i="1"/>
  <c r="H225" i="1"/>
  <c r="AX228" i="1"/>
  <c r="I228" i="1"/>
  <c r="BI228" i="1"/>
  <c r="AE228" i="1" s="1"/>
  <c r="BH237" i="1"/>
  <c r="AD237" i="1" s="1"/>
  <c r="AW241" i="1"/>
  <c r="H241" i="1"/>
  <c r="AX244" i="1"/>
  <c r="I244" i="1"/>
  <c r="BI244" i="1"/>
  <c r="AE244" i="1" s="1"/>
  <c r="BH253" i="1"/>
  <c r="AD253" i="1" s="1"/>
  <c r="AW257" i="1"/>
  <c r="H257" i="1"/>
  <c r="AX260" i="1"/>
  <c r="I260" i="1"/>
  <c r="BI260" i="1"/>
  <c r="AE260" i="1" s="1"/>
  <c r="AX268" i="1"/>
  <c r="BC268" i="1" s="1"/>
  <c r="I268" i="1"/>
  <c r="AX272" i="1"/>
  <c r="BC272" i="1" s="1"/>
  <c r="I272" i="1"/>
  <c r="AS273" i="1"/>
  <c r="I279" i="1"/>
  <c r="BI279" i="1"/>
  <c r="AE279" i="1" s="1"/>
  <c r="AX279" i="1"/>
  <c r="BC279" i="1" s="1"/>
  <c r="AV280" i="1"/>
  <c r="BC280" i="1"/>
  <c r="H288" i="1"/>
  <c r="BH288" i="1"/>
  <c r="AD288" i="1" s="1"/>
  <c r="AW288" i="1"/>
  <c r="I295" i="1"/>
  <c r="BI295" i="1"/>
  <c r="AE295" i="1" s="1"/>
  <c r="AX295" i="1"/>
  <c r="BC295" i="1" s="1"/>
  <c r="AV296" i="1"/>
  <c r="BC296" i="1"/>
  <c r="BH17" i="1"/>
  <c r="AB17" i="1" s="1"/>
  <c r="BC69" i="1"/>
  <c r="AW77" i="1"/>
  <c r="BC80" i="1"/>
  <c r="I85" i="1"/>
  <c r="BI85" i="1"/>
  <c r="AC85" i="1" s="1"/>
  <c r="AX86" i="1"/>
  <c r="AV86" i="1" s="1"/>
  <c r="AL90" i="1"/>
  <c r="AU89" i="1" s="1"/>
  <c r="AV97" i="1"/>
  <c r="G21" i="4"/>
  <c r="I21" i="4" s="1"/>
  <c r="L22" i="3"/>
  <c r="N22" i="3" s="1"/>
  <c r="AU110" i="1"/>
  <c r="AX113" i="1"/>
  <c r="I113" i="1"/>
  <c r="AW114" i="1"/>
  <c r="H114" i="1"/>
  <c r="AX121" i="1"/>
  <c r="I121" i="1"/>
  <c r="AX134" i="1"/>
  <c r="I134" i="1"/>
  <c r="BI134" i="1"/>
  <c r="AC134" i="1" s="1"/>
  <c r="AW135" i="1"/>
  <c r="H135" i="1"/>
  <c r="AX149" i="1"/>
  <c r="I149" i="1"/>
  <c r="BI149" i="1"/>
  <c r="AC149" i="1" s="1"/>
  <c r="AW150" i="1"/>
  <c r="H150" i="1"/>
  <c r="G24" i="4"/>
  <c r="I24" i="4" s="1"/>
  <c r="L25" i="3"/>
  <c r="N25" i="3" s="1"/>
  <c r="AX178" i="1"/>
  <c r="I178" i="1"/>
  <c r="BI178" i="1"/>
  <c r="AE178" i="1" s="1"/>
  <c r="AL189" i="1"/>
  <c r="AU188" i="1" s="1"/>
  <c r="J188" i="1"/>
  <c r="BH193" i="1"/>
  <c r="AD193" i="1" s="1"/>
  <c r="AW197" i="1"/>
  <c r="H197" i="1"/>
  <c r="AX200" i="1"/>
  <c r="I200" i="1"/>
  <c r="BI200" i="1"/>
  <c r="AE200" i="1" s="1"/>
  <c r="BH209" i="1"/>
  <c r="AD209" i="1" s="1"/>
  <c r="AW213" i="1"/>
  <c r="H213" i="1"/>
  <c r="AX216" i="1"/>
  <c r="I216" i="1"/>
  <c r="BI216" i="1"/>
  <c r="AE216" i="1" s="1"/>
  <c r="BH225" i="1"/>
  <c r="AD225" i="1" s="1"/>
  <c r="AW229" i="1"/>
  <c r="H229" i="1"/>
  <c r="AX232" i="1"/>
  <c r="I232" i="1"/>
  <c r="BI232" i="1"/>
  <c r="AE232" i="1" s="1"/>
  <c r="BH241" i="1"/>
  <c r="AD241" i="1" s="1"/>
  <c r="AW245" i="1"/>
  <c r="H245" i="1"/>
  <c r="AX248" i="1"/>
  <c r="I248" i="1"/>
  <c r="BI248" i="1"/>
  <c r="AE248" i="1" s="1"/>
  <c r="BH257" i="1"/>
  <c r="AD257" i="1" s="1"/>
  <c r="AW261" i="1"/>
  <c r="H261" i="1"/>
  <c r="AX264" i="1"/>
  <c r="I264" i="1"/>
  <c r="BI264" i="1"/>
  <c r="AE264" i="1" s="1"/>
  <c r="AV268" i="1"/>
  <c r="BI268" i="1"/>
  <c r="AE268" i="1" s="1"/>
  <c r="AV272" i="1"/>
  <c r="BI272" i="1"/>
  <c r="AE272" i="1" s="1"/>
  <c r="AV274" i="1"/>
  <c r="BC274" i="1"/>
  <c r="AW283" i="1"/>
  <c r="BH283" i="1"/>
  <c r="AD283" i="1" s="1"/>
  <c r="BI284" i="1"/>
  <c r="AE284" i="1" s="1"/>
  <c r="AX284" i="1"/>
  <c r="I284" i="1"/>
  <c r="AV290" i="1"/>
  <c r="BC290" i="1"/>
  <c r="AW299" i="1"/>
  <c r="BH299" i="1"/>
  <c r="AD299" i="1" s="1"/>
  <c r="AV312" i="1"/>
  <c r="BC312" i="1"/>
  <c r="AX318" i="1"/>
  <c r="I318" i="1"/>
  <c r="AW323" i="1"/>
  <c r="H323" i="1"/>
  <c r="AV328" i="1"/>
  <c r="BC328" i="1"/>
  <c r="AX334" i="1"/>
  <c r="I334" i="1"/>
  <c r="AL338" i="1"/>
  <c r="AU337" i="1" s="1"/>
  <c r="J337" i="1"/>
  <c r="AW342" i="1"/>
  <c r="H342" i="1"/>
  <c r="AW343" i="1"/>
  <c r="H343" i="1"/>
  <c r="AW347" i="1"/>
  <c r="H347" i="1"/>
  <c r="AX350" i="1"/>
  <c r="I350" i="1"/>
  <c r="BI350" i="1"/>
  <c r="AE350" i="1" s="1"/>
  <c r="AW363" i="1"/>
  <c r="H363" i="1"/>
  <c r="AX366" i="1"/>
  <c r="I366" i="1"/>
  <c r="BI366" i="1"/>
  <c r="AE366" i="1" s="1"/>
  <c r="AW379" i="1"/>
  <c r="H379" i="1"/>
  <c r="AX382" i="1"/>
  <c r="I382" i="1"/>
  <c r="BI382" i="1"/>
  <c r="AE382" i="1" s="1"/>
  <c r="AW395" i="1"/>
  <c r="H395" i="1"/>
  <c r="AX398" i="1"/>
  <c r="I398" i="1"/>
  <c r="BI398" i="1"/>
  <c r="AE398" i="1" s="1"/>
  <c r="AW422" i="1"/>
  <c r="H422" i="1"/>
  <c r="AV437" i="1"/>
  <c r="BC437" i="1"/>
  <c r="AV453" i="1"/>
  <c r="BC453" i="1"/>
  <c r="G31" i="4"/>
  <c r="I31" i="4" s="1"/>
  <c r="L32" i="3"/>
  <c r="N32" i="3" s="1"/>
  <c r="I633" i="1"/>
  <c r="BI633" i="1"/>
  <c r="AG633" i="1" s="1"/>
  <c r="AX633" i="1"/>
  <c r="AW113" i="1"/>
  <c r="AX116" i="1"/>
  <c r="BC116" i="1" s="1"/>
  <c r="AW117" i="1"/>
  <c r="AX120" i="1"/>
  <c r="AV120" i="1" s="1"/>
  <c r="AW121" i="1"/>
  <c r="H122" i="1"/>
  <c r="AX124" i="1"/>
  <c r="AV124" i="1" s="1"/>
  <c r="I125" i="1"/>
  <c r="AW125" i="1"/>
  <c r="H126" i="1"/>
  <c r="AX128" i="1"/>
  <c r="AV128" i="1" s="1"/>
  <c r="I129" i="1"/>
  <c r="AW129" i="1"/>
  <c r="H130" i="1"/>
  <c r="AX132" i="1"/>
  <c r="AV132" i="1" s="1"/>
  <c r="I133" i="1"/>
  <c r="AW133" i="1"/>
  <c r="H134" i="1"/>
  <c r="AX136" i="1"/>
  <c r="BC136" i="1" s="1"/>
  <c r="I137" i="1"/>
  <c r="AW137" i="1"/>
  <c r="H138" i="1"/>
  <c r="AX140" i="1"/>
  <c r="AV140" i="1" s="1"/>
  <c r="I141" i="1"/>
  <c r="AW141" i="1"/>
  <c r="AX143" i="1"/>
  <c r="BC143" i="1" s="1"/>
  <c r="I144" i="1"/>
  <c r="I142" i="1" s="1"/>
  <c r="AW144" i="1"/>
  <c r="H145" i="1"/>
  <c r="AX147" i="1"/>
  <c r="BC147" i="1" s="1"/>
  <c r="I148" i="1"/>
  <c r="AW148" i="1"/>
  <c r="H149" i="1"/>
  <c r="AX151" i="1"/>
  <c r="AV151" i="1" s="1"/>
  <c r="I152" i="1"/>
  <c r="AW152" i="1"/>
  <c r="H153" i="1"/>
  <c r="J155" i="1"/>
  <c r="H156" i="1"/>
  <c r="AX158" i="1"/>
  <c r="AV158" i="1" s="1"/>
  <c r="I159" i="1"/>
  <c r="AW159" i="1"/>
  <c r="H160" i="1"/>
  <c r="AX162" i="1"/>
  <c r="AV162" i="1" s="1"/>
  <c r="I163" i="1"/>
  <c r="AW163" i="1"/>
  <c r="H164" i="1"/>
  <c r="AX166" i="1"/>
  <c r="AV166" i="1" s="1"/>
  <c r="I167" i="1"/>
  <c r="AW167" i="1"/>
  <c r="H168" i="1"/>
  <c r="AX170" i="1"/>
  <c r="AV170" i="1" s="1"/>
  <c r="I171" i="1"/>
  <c r="AW171" i="1"/>
  <c r="H172" i="1"/>
  <c r="I174" i="1"/>
  <c r="I173" i="1" s="1"/>
  <c r="AW174" i="1"/>
  <c r="AX176" i="1"/>
  <c r="AV176" i="1" s="1"/>
  <c r="I177" i="1"/>
  <c r="AW177" i="1"/>
  <c r="H178" i="1"/>
  <c r="H175" i="1" s="1"/>
  <c r="J180" i="1"/>
  <c r="H181" i="1"/>
  <c r="AX183" i="1"/>
  <c r="AV183" i="1" s="1"/>
  <c r="I184" i="1"/>
  <c r="AW184" i="1"/>
  <c r="H185" i="1"/>
  <c r="AX187" i="1"/>
  <c r="AV187" i="1" s="1"/>
  <c r="AX190" i="1"/>
  <c r="AV190" i="1" s="1"/>
  <c r="I191" i="1"/>
  <c r="AW191" i="1"/>
  <c r="H192" i="1"/>
  <c r="AX194" i="1"/>
  <c r="AV194" i="1" s="1"/>
  <c r="I195" i="1"/>
  <c r="AW195" i="1"/>
  <c r="H196" i="1"/>
  <c r="AX198" i="1"/>
  <c r="BC198" i="1" s="1"/>
  <c r="I199" i="1"/>
  <c r="AW199" i="1"/>
  <c r="H200" i="1"/>
  <c r="AX202" i="1"/>
  <c r="AV202" i="1" s="1"/>
  <c r="I203" i="1"/>
  <c r="AW203" i="1"/>
  <c r="H204" i="1"/>
  <c r="AX206" i="1"/>
  <c r="BC206" i="1" s="1"/>
  <c r="I207" i="1"/>
  <c r="AW207" i="1"/>
  <c r="H208" i="1"/>
  <c r="AX210" i="1"/>
  <c r="AV210" i="1" s="1"/>
  <c r="I211" i="1"/>
  <c r="AW211" i="1"/>
  <c r="H212" i="1"/>
  <c r="AX214" i="1"/>
  <c r="AV214" i="1" s="1"/>
  <c r="I215" i="1"/>
  <c r="AW215" i="1"/>
  <c r="H216" i="1"/>
  <c r="AX218" i="1"/>
  <c r="BC218" i="1" s="1"/>
  <c r="I219" i="1"/>
  <c r="AW219" i="1"/>
  <c r="H220" i="1"/>
  <c r="AX222" i="1"/>
  <c r="BC222" i="1" s="1"/>
  <c r="I223" i="1"/>
  <c r="AW223" i="1"/>
  <c r="H224" i="1"/>
  <c r="AX226" i="1"/>
  <c r="AV226" i="1" s="1"/>
  <c r="I227" i="1"/>
  <c r="AW227" i="1"/>
  <c r="H228" i="1"/>
  <c r="AX230" i="1"/>
  <c r="AV230" i="1" s="1"/>
  <c r="I231" i="1"/>
  <c r="AW231" i="1"/>
  <c r="H232" i="1"/>
  <c r="AX234" i="1"/>
  <c r="AV234" i="1" s="1"/>
  <c r="I235" i="1"/>
  <c r="AW235" i="1"/>
  <c r="H236" i="1"/>
  <c r="AX238" i="1"/>
  <c r="BC238" i="1" s="1"/>
  <c r="I239" i="1"/>
  <c r="AW239" i="1"/>
  <c r="H240" i="1"/>
  <c r="AX242" i="1"/>
  <c r="AV242" i="1" s="1"/>
  <c r="I243" i="1"/>
  <c r="AW243" i="1"/>
  <c r="H244" i="1"/>
  <c r="AX246" i="1"/>
  <c r="AV246" i="1" s="1"/>
  <c r="I247" i="1"/>
  <c r="AW247" i="1"/>
  <c r="H248" i="1"/>
  <c r="AX250" i="1"/>
  <c r="AV250" i="1" s="1"/>
  <c r="I251" i="1"/>
  <c r="AW251" i="1"/>
  <c r="H252" i="1"/>
  <c r="AX254" i="1"/>
  <c r="BC254" i="1" s="1"/>
  <c r="I255" i="1"/>
  <c r="AW255" i="1"/>
  <c r="H256" i="1"/>
  <c r="AX258" i="1"/>
  <c r="AV258" i="1" s="1"/>
  <c r="I259" i="1"/>
  <c r="AW259" i="1"/>
  <c r="H260" i="1"/>
  <c r="AX262" i="1"/>
  <c r="BC262" i="1" s="1"/>
  <c r="I263" i="1"/>
  <c r="AW263" i="1"/>
  <c r="H264" i="1"/>
  <c r="AX266" i="1"/>
  <c r="AV266" i="1" s="1"/>
  <c r="I267" i="1"/>
  <c r="AW267" i="1"/>
  <c r="H268" i="1"/>
  <c r="AX270" i="1"/>
  <c r="AV270" i="1" s="1"/>
  <c r="I271" i="1"/>
  <c r="AW271" i="1"/>
  <c r="H272" i="1"/>
  <c r="I274" i="1"/>
  <c r="AX275" i="1"/>
  <c r="AV275" i="1" s="1"/>
  <c r="BH275" i="1"/>
  <c r="AD275" i="1" s="1"/>
  <c r="BI278" i="1"/>
  <c r="AE278" i="1" s="1"/>
  <c r="AV279" i="1"/>
  <c r="I280" i="1"/>
  <c r="BH280" i="1"/>
  <c r="AD280" i="1" s="1"/>
  <c r="AV282" i="1"/>
  <c r="AW284" i="1"/>
  <c r="H285" i="1"/>
  <c r="AW285" i="1"/>
  <c r="BI287" i="1"/>
  <c r="AE287" i="1" s="1"/>
  <c r="AV289" i="1"/>
  <c r="I290" i="1"/>
  <c r="AX291" i="1"/>
  <c r="AV291" i="1" s="1"/>
  <c r="BH291" i="1"/>
  <c r="AD291" i="1" s="1"/>
  <c r="BI294" i="1"/>
  <c r="AE294" i="1" s="1"/>
  <c r="AV295" i="1"/>
  <c r="I296" i="1"/>
  <c r="BH296" i="1"/>
  <c r="AD296" i="1" s="1"/>
  <c r="AV298" i="1"/>
  <c r="AW300" i="1"/>
  <c r="H301" i="1"/>
  <c r="AW301" i="1"/>
  <c r="BI303" i="1"/>
  <c r="AE303" i="1" s="1"/>
  <c r="AV305" i="1"/>
  <c r="I306" i="1"/>
  <c r="BC306" i="1"/>
  <c r="AX307" i="1"/>
  <c r="AV307" i="1" s="1"/>
  <c r="BH307" i="1"/>
  <c r="AD307" i="1" s="1"/>
  <c r="AW311" i="1"/>
  <c r="H311" i="1"/>
  <c r="BI315" i="1"/>
  <c r="AE315" i="1" s="1"/>
  <c r="AW316" i="1"/>
  <c r="BH316" i="1"/>
  <c r="AD316" i="1" s="1"/>
  <c r="AV317" i="1"/>
  <c r="AX319" i="1"/>
  <c r="AX322" i="1"/>
  <c r="I322" i="1"/>
  <c r="AW327" i="1"/>
  <c r="H327" i="1"/>
  <c r="BI331" i="1"/>
  <c r="AE331" i="1" s="1"/>
  <c r="AW332" i="1"/>
  <c r="BH332" i="1"/>
  <c r="AD332" i="1" s="1"/>
  <c r="AV333" i="1"/>
  <c r="AX335" i="1"/>
  <c r="AS337" i="1"/>
  <c r="AX338" i="1"/>
  <c r="AX341" i="1"/>
  <c r="I341" i="1"/>
  <c r="BH343" i="1"/>
  <c r="AD343" i="1" s="1"/>
  <c r="AV344" i="1"/>
  <c r="BC344" i="1"/>
  <c r="BH347" i="1"/>
  <c r="AD347" i="1" s="1"/>
  <c r="AW351" i="1"/>
  <c r="H351" i="1"/>
  <c r="AX354" i="1"/>
  <c r="I354" i="1"/>
  <c r="BI354" i="1"/>
  <c r="AE354" i="1" s="1"/>
  <c r="BH363" i="1"/>
  <c r="AD363" i="1" s="1"/>
  <c r="AW367" i="1"/>
  <c r="H367" i="1"/>
  <c r="AX370" i="1"/>
  <c r="I370" i="1"/>
  <c r="BI370" i="1"/>
  <c r="AE370" i="1" s="1"/>
  <c r="BH379" i="1"/>
  <c r="AD379" i="1" s="1"/>
  <c r="AW383" i="1"/>
  <c r="H383" i="1"/>
  <c r="AX386" i="1"/>
  <c r="I386" i="1"/>
  <c r="BI386" i="1"/>
  <c r="AE386" i="1" s="1"/>
  <c r="BH395" i="1"/>
  <c r="AD395" i="1" s="1"/>
  <c r="AW399" i="1"/>
  <c r="H399" i="1"/>
  <c r="AX402" i="1"/>
  <c r="I402" i="1"/>
  <c r="BI402" i="1"/>
  <c r="AE402" i="1" s="1"/>
  <c r="AW410" i="1"/>
  <c r="H410" i="1"/>
  <c r="AX413" i="1"/>
  <c r="I413" i="1"/>
  <c r="BI413" i="1"/>
  <c r="AE413" i="1" s="1"/>
  <c r="BH422" i="1"/>
  <c r="AD422" i="1" s="1"/>
  <c r="AX425" i="1"/>
  <c r="BI425" i="1"/>
  <c r="AE425" i="1" s="1"/>
  <c r="I425" i="1"/>
  <c r="AV441" i="1"/>
  <c r="BC441" i="1"/>
  <c r="AV455" i="1"/>
  <c r="BC455" i="1"/>
  <c r="AL476" i="1"/>
  <c r="AU475" i="1" s="1"/>
  <c r="J475" i="1"/>
  <c r="AW122" i="1"/>
  <c r="AX125" i="1"/>
  <c r="AW126" i="1"/>
  <c r="AX129" i="1"/>
  <c r="AW130" i="1"/>
  <c r="AX133" i="1"/>
  <c r="AW134" i="1"/>
  <c r="AX137" i="1"/>
  <c r="AW138" i="1"/>
  <c r="AX141" i="1"/>
  <c r="AX144" i="1"/>
  <c r="AW145" i="1"/>
  <c r="AX148" i="1"/>
  <c r="AW149" i="1"/>
  <c r="AX152" i="1"/>
  <c r="AW153" i="1"/>
  <c r="AW156" i="1"/>
  <c r="AX159" i="1"/>
  <c r="AW160" i="1"/>
  <c r="AX163" i="1"/>
  <c r="AW164" i="1"/>
  <c r="AX167" i="1"/>
  <c r="AW168" i="1"/>
  <c r="AX171" i="1"/>
  <c r="AW172" i="1"/>
  <c r="AX174" i="1"/>
  <c r="AX177" i="1"/>
  <c r="AW178" i="1"/>
  <c r="AW181" i="1"/>
  <c r="AX184" i="1"/>
  <c r="AW185" i="1"/>
  <c r="AX191" i="1"/>
  <c r="AW192" i="1"/>
  <c r="AX195" i="1"/>
  <c r="AW196" i="1"/>
  <c r="AX199" i="1"/>
  <c r="AW200" i="1"/>
  <c r="AX203" i="1"/>
  <c r="AW204" i="1"/>
  <c r="AX207" i="1"/>
  <c r="AW208" i="1"/>
  <c r="AX211" i="1"/>
  <c r="AW212" i="1"/>
  <c r="AX215" i="1"/>
  <c r="AW216" i="1"/>
  <c r="AX219" i="1"/>
  <c r="AW220" i="1"/>
  <c r="AX223" i="1"/>
  <c r="AW224" i="1"/>
  <c r="AX227" i="1"/>
  <c r="AW228" i="1"/>
  <c r="AX231" i="1"/>
  <c r="AW232" i="1"/>
  <c r="AX235" i="1"/>
  <c r="AW236" i="1"/>
  <c r="AX239" i="1"/>
  <c r="AW240" i="1"/>
  <c r="AX243" i="1"/>
  <c r="AW244" i="1"/>
  <c r="AX247" i="1"/>
  <c r="AW248" i="1"/>
  <c r="AX251" i="1"/>
  <c r="AW252" i="1"/>
  <c r="AX255" i="1"/>
  <c r="AW256" i="1"/>
  <c r="AX259" i="1"/>
  <c r="AW260" i="1"/>
  <c r="AX263" i="1"/>
  <c r="AW264" i="1"/>
  <c r="I300" i="1"/>
  <c r="AX300" i="1"/>
  <c r="AW304" i="1"/>
  <c r="AX310" i="1"/>
  <c r="I310" i="1"/>
  <c r="AW315" i="1"/>
  <c r="H315" i="1"/>
  <c r="BI318" i="1"/>
  <c r="AE318" i="1" s="1"/>
  <c r="BI319" i="1"/>
  <c r="AE319" i="1" s="1"/>
  <c r="AW320" i="1"/>
  <c r="BH320" i="1"/>
  <c r="AD320" i="1" s="1"/>
  <c r="BH323" i="1"/>
  <c r="AD323" i="1" s="1"/>
  <c r="AX326" i="1"/>
  <c r="I326" i="1"/>
  <c r="AW331" i="1"/>
  <c r="H331" i="1"/>
  <c r="BI334" i="1"/>
  <c r="AE334" i="1" s="1"/>
  <c r="BI335" i="1"/>
  <c r="AE335" i="1" s="1"/>
  <c r="AW336" i="1"/>
  <c r="BH336" i="1"/>
  <c r="AD336" i="1" s="1"/>
  <c r="BI338" i="1"/>
  <c r="AE338" i="1" s="1"/>
  <c r="AW339" i="1"/>
  <c r="BH339" i="1"/>
  <c r="AD339" i="1" s="1"/>
  <c r="BH342" i="1"/>
  <c r="AD342" i="1" s="1"/>
  <c r="AW355" i="1"/>
  <c r="H355" i="1"/>
  <c r="AX358" i="1"/>
  <c r="I358" i="1"/>
  <c r="BI358" i="1"/>
  <c r="AE358" i="1" s="1"/>
  <c r="AW371" i="1"/>
  <c r="H371" i="1"/>
  <c r="AX374" i="1"/>
  <c r="I374" i="1"/>
  <c r="BI374" i="1"/>
  <c r="AE374" i="1" s="1"/>
  <c r="AW387" i="1"/>
  <c r="H387" i="1"/>
  <c r="AX390" i="1"/>
  <c r="I390" i="1"/>
  <c r="BI390" i="1"/>
  <c r="AE390" i="1" s="1"/>
  <c r="AW403" i="1"/>
  <c r="H403" i="1"/>
  <c r="AX406" i="1"/>
  <c r="I406" i="1"/>
  <c r="BI406" i="1"/>
  <c r="AE406" i="1" s="1"/>
  <c r="AS409" i="1"/>
  <c r="AW414" i="1"/>
  <c r="H414" i="1"/>
  <c r="AX417" i="1"/>
  <c r="I417" i="1"/>
  <c r="BI417" i="1"/>
  <c r="AE417" i="1" s="1"/>
  <c r="BI427" i="1"/>
  <c r="AE427" i="1" s="1"/>
  <c r="AX427" i="1"/>
  <c r="I427" i="1"/>
  <c r="AV445" i="1"/>
  <c r="BC445" i="1"/>
  <c r="BI459" i="1"/>
  <c r="AE459" i="1" s="1"/>
  <c r="I459" i="1"/>
  <c r="AX459" i="1"/>
  <c r="AV459" i="1" s="1"/>
  <c r="BC464" i="1"/>
  <c r="AV464" i="1"/>
  <c r="AW466" i="1"/>
  <c r="BH466" i="1"/>
  <c r="AD466" i="1" s="1"/>
  <c r="H466" i="1"/>
  <c r="I573" i="1"/>
  <c r="BI573" i="1"/>
  <c r="AE573" i="1" s="1"/>
  <c r="AX573" i="1"/>
  <c r="AV276" i="1"/>
  <c r="AV292" i="1"/>
  <c r="BH304" i="1"/>
  <c r="AD304" i="1" s="1"/>
  <c r="AV308" i="1"/>
  <c r="H309" i="1"/>
  <c r="AW309" i="1"/>
  <c r="AX311" i="1"/>
  <c r="AX314" i="1"/>
  <c r="I314" i="1"/>
  <c r="AW319" i="1"/>
  <c r="H319" i="1"/>
  <c r="AV324" i="1"/>
  <c r="BC324" i="1"/>
  <c r="AV325" i="1"/>
  <c r="AX327" i="1"/>
  <c r="AX330" i="1"/>
  <c r="I330" i="1"/>
  <c r="AW335" i="1"/>
  <c r="H335" i="1"/>
  <c r="AW338" i="1"/>
  <c r="H338" i="1"/>
  <c r="AX346" i="1"/>
  <c r="I346" i="1"/>
  <c r="BI346" i="1"/>
  <c r="AE346" i="1" s="1"/>
  <c r="BH355" i="1"/>
  <c r="AD355" i="1" s="1"/>
  <c r="AW359" i="1"/>
  <c r="H359" i="1"/>
  <c r="AX362" i="1"/>
  <c r="I362" i="1"/>
  <c r="BI362" i="1"/>
  <c r="AE362" i="1" s="1"/>
  <c r="AW375" i="1"/>
  <c r="H375" i="1"/>
  <c r="AX378" i="1"/>
  <c r="I378" i="1"/>
  <c r="BI378" i="1"/>
  <c r="AE378" i="1" s="1"/>
  <c r="AW391" i="1"/>
  <c r="H391" i="1"/>
  <c r="AX394" i="1"/>
  <c r="I394" i="1"/>
  <c r="BI394" i="1"/>
  <c r="AE394" i="1" s="1"/>
  <c r="AW407" i="1"/>
  <c r="H407" i="1"/>
  <c r="AL410" i="1"/>
  <c r="AU409" i="1" s="1"/>
  <c r="J409" i="1"/>
  <c r="BH414" i="1"/>
  <c r="AD414" i="1" s="1"/>
  <c r="AW418" i="1"/>
  <c r="H418" i="1"/>
  <c r="AX421" i="1"/>
  <c r="I421" i="1"/>
  <c r="BI421" i="1"/>
  <c r="AE421" i="1" s="1"/>
  <c r="AW426" i="1"/>
  <c r="BH426" i="1"/>
  <c r="AD426" i="1" s="1"/>
  <c r="AV433" i="1"/>
  <c r="BC433" i="1"/>
  <c r="AV449" i="1"/>
  <c r="BC449" i="1"/>
  <c r="F31" i="4"/>
  <c r="K32" i="3"/>
  <c r="I345" i="1"/>
  <c r="H346" i="1"/>
  <c r="AX348" i="1"/>
  <c r="AV348" i="1" s="1"/>
  <c r="I349" i="1"/>
  <c r="AW349" i="1"/>
  <c r="H350" i="1"/>
  <c r="AX352" i="1"/>
  <c r="BC352" i="1" s="1"/>
  <c r="I353" i="1"/>
  <c r="AW353" i="1"/>
  <c r="H354" i="1"/>
  <c r="AX356" i="1"/>
  <c r="AV356" i="1" s="1"/>
  <c r="I357" i="1"/>
  <c r="AW357" i="1"/>
  <c r="H358" i="1"/>
  <c r="AX360" i="1"/>
  <c r="BC360" i="1" s="1"/>
  <c r="I361" i="1"/>
  <c r="AW361" i="1"/>
  <c r="H362" i="1"/>
  <c r="AX364" i="1"/>
  <c r="AV364" i="1" s="1"/>
  <c r="I365" i="1"/>
  <c r="AW365" i="1"/>
  <c r="H366" i="1"/>
  <c r="AX368" i="1"/>
  <c r="AV368" i="1" s="1"/>
  <c r="I369" i="1"/>
  <c r="AW369" i="1"/>
  <c r="H370" i="1"/>
  <c r="AX372" i="1"/>
  <c r="AV372" i="1" s="1"/>
  <c r="I373" i="1"/>
  <c r="AW373" i="1"/>
  <c r="H374" i="1"/>
  <c r="AX376" i="1"/>
  <c r="AV376" i="1" s="1"/>
  <c r="I377" i="1"/>
  <c r="AW377" i="1"/>
  <c r="H378" i="1"/>
  <c r="AX380" i="1"/>
  <c r="AV380" i="1" s="1"/>
  <c r="I381" i="1"/>
  <c r="AW381" i="1"/>
  <c r="H382" i="1"/>
  <c r="AX384" i="1"/>
  <c r="AV384" i="1" s="1"/>
  <c r="I385" i="1"/>
  <c r="AW385" i="1"/>
  <c r="H386" i="1"/>
  <c r="AX388" i="1"/>
  <c r="BC388" i="1" s="1"/>
  <c r="I389" i="1"/>
  <c r="AW389" i="1"/>
  <c r="H390" i="1"/>
  <c r="AX392" i="1"/>
  <c r="AV392" i="1" s="1"/>
  <c r="I393" i="1"/>
  <c r="AW393" i="1"/>
  <c r="H394" i="1"/>
  <c r="AX396" i="1"/>
  <c r="AV396" i="1" s="1"/>
  <c r="I397" i="1"/>
  <c r="AW397" i="1"/>
  <c r="H398" i="1"/>
  <c r="AX400" i="1"/>
  <c r="AV400" i="1" s="1"/>
  <c r="I401" i="1"/>
  <c r="AW401" i="1"/>
  <c r="H402" i="1"/>
  <c r="AX404" i="1"/>
  <c r="AV404" i="1" s="1"/>
  <c r="I405" i="1"/>
  <c r="AW405" i="1"/>
  <c r="H406" i="1"/>
  <c r="AX408" i="1"/>
  <c r="AV408" i="1" s="1"/>
  <c r="AX411" i="1"/>
  <c r="AV411" i="1" s="1"/>
  <c r="I412" i="1"/>
  <c r="AW412" i="1"/>
  <c r="H413" i="1"/>
  <c r="AX415" i="1"/>
  <c r="AV415" i="1" s="1"/>
  <c r="I416" i="1"/>
  <c r="AW416" i="1"/>
  <c r="H417" i="1"/>
  <c r="AX419" i="1"/>
  <c r="AV419" i="1" s="1"/>
  <c r="I420" i="1"/>
  <c r="AW420" i="1"/>
  <c r="H421" i="1"/>
  <c r="AX423" i="1"/>
  <c r="BC423" i="1" s="1"/>
  <c r="I424" i="1"/>
  <c r="AW424" i="1"/>
  <c r="H425" i="1"/>
  <c r="AW427" i="1"/>
  <c r="H428" i="1"/>
  <c r="AW428" i="1"/>
  <c r="BC430" i="1"/>
  <c r="I431" i="1"/>
  <c r="BC432" i="1"/>
  <c r="BC434" i="1"/>
  <c r="I435" i="1"/>
  <c r="BC436" i="1"/>
  <c r="BC438" i="1"/>
  <c r="I439" i="1"/>
  <c r="BC440" i="1"/>
  <c r="BC442" i="1"/>
  <c r="I443" i="1"/>
  <c r="BC444" i="1"/>
  <c r="BC446" i="1"/>
  <c r="I447" i="1"/>
  <c r="BC448" i="1"/>
  <c r="BC450" i="1"/>
  <c r="I451" i="1"/>
  <c r="BC452" i="1"/>
  <c r="BC454" i="1"/>
  <c r="BC459" i="1"/>
  <c r="I462" i="1"/>
  <c r="BI462" i="1"/>
  <c r="AE462" i="1" s="1"/>
  <c r="H463" i="1"/>
  <c r="BH463" i="1"/>
  <c r="AD463" i="1" s="1"/>
  <c r="I467" i="1"/>
  <c r="BC470" i="1"/>
  <c r="H484" i="1"/>
  <c r="BH484" i="1"/>
  <c r="AD484" i="1" s="1"/>
  <c r="AW484" i="1"/>
  <c r="AV485" i="1"/>
  <c r="BC485" i="1"/>
  <c r="H489" i="1"/>
  <c r="BH489" i="1"/>
  <c r="AD489" i="1" s="1"/>
  <c r="AW489" i="1"/>
  <c r="AV493" i="1"/>
  <c r="BC493" i="1"/>
  <c r="H497" i="1"/>
  <c r="BH497" i="1"/>
  <c r="AD497" i="1" s="1"/>
  <c r="AW497" i="1"/>
  <c r="AV501" i="1"/>
  <c r="BC501" i="1"/>
  <c r="AV607" i="1"/>
  <c r="BC607" i="1"/>
  <c r="AX345" i="1"/>
  <c r="AW346" i="1"/>
  <c r="AX349" i="1"/>
  <c r="AW350" i="1"/>
  <c r="AX353" i="1"/>
  <c r="AW354" i="1"/>
  <c r="AX357" i="1"/>
  <c r="AW358" i="1"/>
  <c r="AX361" i="1"/>
  <c r="AW362" i="1"/>
  <c r="AX365" i="1"/>
  <c r="AW366" i="1"/>
  <c r="AX369" i="1"/>
  <c r="AW370" i="1"/>
  <c r="AX373" i="1"/>
  <c r="AW374" i="1"/>
  <c r="AX377" i="1"/>
  <c r="AW378" i="1"/>
  <c r="AX381" i="1"/>
  <c r="AW382" i="1"/>
  <c r="AX385" i="1"/>
  <c r="AW386" i="1"/>
  <c r="AX389" i="1"/>
  <c r="AW390" i="1"/>
  <c r="AX393" i="1"/>
  <c r="AW394" i="1"/>
  <c r="AX397" i="1"/>
  <c r="AW398" i="1"/>
  <c r="AX401" i="1"/>
  <c r="AW402" i="1"/>
  <c r="AX405" i="1"/>
  <c r="AW406" i="1"/>
  <c r="AX412" i="1"/>
  <c r="AW413" i="1"/>
  <c r="AX416" i="1"/>
  <c r="AW417" i="1"/>
  <c r="AX420" i="1"/>
  <c r="AW421" i="1"/>
  <c r="AX424" i="1"/>
  <c r="AW425" i="1"/>
  <c r="BH427" i="1"/>
  <c r="AD427" i="1" s="1"/>
  <c r="I433" i="1"/>
  <c r="I437" i="1"/>
  <c r="I441" i="1"/>
  <c r="I445" i="1"/>
  <c r="I449" i="1"/>
  <c r="I453" i="1"/>
  <c r="BI454" i="1"/>
  <c r="AE454" i="1" s="1"/>
  <c r="I454" i="1"/>
  <c r="AX457" i="1"/>
  <c r="AV457" i="1" s="1"/>
  <c r="I457" i="1"/>
  <c r="BI457" i="1"/>
  <c r="AE457" i="1" s="1"/>
  <c r="BH460" i="1"/>
  <c r="AD460" i="1" s="1"/>
  <c r="AW460" i="1"/>
  <c r="H460" i="1"/>
  <c r="BH468" i="1"/>
  <c r="AD468" i="1" s="1"/>
  <c r="AW468" i="1"/>
  <c r="H468" i="1"/>
  <c r="I470" i="1"/>
  <c r="BI470" i="1"/>
  <c r="AE470" i="1" s="1"/>
  <c r="H474" i="1"/>
  <c r="H471" i="1" s="1"/>
  <c r="BH474" i="1"/>
  <c r="AW474" i="1"/>
  <c r="BC478" i="1"/>
  <c r="AV478" i="1"/>
  <c r="I488" i="1"/>
  <c r="BI488" i="1"/>
  <c r="AE488" i="1" s="1"/>
  <c r="AX488" i="1"/>
  <c r="I496" i="1"/>
  <c r="BI496" i="1"/>
  <c r="AE496" i="1" s="1"/>
  <c r="AX496" i="1"/>
  <c r="AW621" i="1"/>
  <c r="H621" i="1"/>
  <c r="BH621" i="1"/>
  <c r="AF621" i="1" s="1"/>
  <c r="H455" i="1"/>
  <c r="BH455" i="1"/>
  <c r="AD455" i="1" s="1"/>
  <c r="BC456" i="1"/>
  <c r="AV456" i="1"/>
  <c r="AW458" i="1"/>
  <c r="BH458" i="1"/>
  <c r="AD458" i="1" s="1"/>
  <c r="AX465" i="1"/>
  <c r="BC465" i="1" s="1"/>
  <c r="I465" i="1"/>
  <c r="BI465" i="1"/>
  <c r="AE465" i="1" s="1"/>
  <c r="I476" i="1"/>
  <c r="BI476" i="1"/>
  <c r="AE476" i="1" s="1"/>
  <c r="AX476" i="1"/>
  <c r="BC476" i="1" s="1"/>
  <c r="AV477" i="1"/>
  <c r="BC477" i="1"/>
  <c r="AL484" i="1"/>
  <c r="AU480" i="1" s="1"/>
  <c r="J480" i="1"/>
  <c r="H552" i="1"/>
  <c r="BH552" i="1"/>
  <c r="AD552" i="1" s="1"/>
  <c r="AW552" i="1"/>
  <c r="I591" i="1"/>
  <c r="BI591" i="1"/>
  <c r="AE591" i="1" s="1"/>
  <c r="AX591" i="1"/>
  <c r="BC615" i="1"/>
  <c r="AV615" i="1"/>
  <c r="I430" i="1"/>
  <c r="H431" i="1"/>
  <c r="I434" i="1"/>
  <c r="H435" i="1"/>
  <c r="I438" i="1"/>
  <c r="H439" i="1"/>
  <c r="I442" i="1"/>
  <c r="H443" i="1"/>
  <c r="I446" i="1"/>
  <c r="H447" i="1"/>
  <c r="I450" i="1"/>
  <c r="H451" i="1"/>
  <c r="AX458" i="1"/>
  <c r="BI461" i="1"/>
  <c r="AE461" i="1" s="1"/>
  <c r="AV462" i="1"/>
  <c r="I463" i="1"/>
  <c r="AW467" i="1"/>
  <c r="BI473" i="1"/>
  <c r="AE473" i="1" s="1"/>
  <c r="AS475" i="1"/>
  <c r="I477" i="1"/>
  <c r="BH477" i="1"/>
  <c r="AD477" i="1" s="1"/>
  <c r="H481" i="1"/>
  <c r="AW481" i="1"/>
  <c r="BI483" i="1"/>
  <c r="AE483" i="1" s="1"/>
  <c r="AX487" i="1"/>
  <c r="I487" i="1"/>
  <c r="AW492" i="1"/>
  <c r="H492" i="1"/>
  <c r="AX495" i="1"/>
  <c r="I495" i="1"/>
  <c r="AW500" i="1"/>
  <c r="H500" i="1"/>
  <c r="AX503" i="1"/>
  <c r="I503" i="1"/>
  <c r="AT511" i="1"/>
  <c r="AW544" i="1"/>
  <c r="H544" i="1"/>
  <c r="BH544" i="1"/>
  <c r="AD544" i="1" s="1"/>
  <c r="AV545" i="1"/>
  <c r="BC545" i="1"/>
  <c r="I551" i="1"/>
  <c r="BI551" i="1"/>
  <c r="AE551" i="1" s="1"/>
  <c r="AX551" i="1"/>
  <c r="AX565" i="1"/>
  <c r="I565" i="1"/>
  <c r="BI565" i="1"/>
  <c r="AE565" i="1" s="1"/>
  <c r="H581" i="1"/>
  <c r="BH581" i="1"/>
  <c r="AD581" i="1" s="1"/>
  <c r="AW581" i="1"/>
  <c r="AL591" i="1"/>
  <c r="AU590" i="1" s="1"/>
  <c r="J590" i="1"/>
  <c r="AW595" i="1"/>
  <c r="H595" i="1"/>
  <c r="BH595" i="1"/>
  <c r="AD595" i="1" s="1"/>
  <c r="BC597" i="1"/>
  <c r="AV597" i="1"/>
  <c r="AV626" i="1"/>
  <c r="BC626" i="1"/>
  <c r="J511" i="1"/>
  <c r="AV512" i="1"/>
  <c r="BC512" i="1"/>
  <c r="AX514" i="1"/>
  <c r="I514" i="1"/>
  <c r="BI514" i="1"/>
  <c r="AE514" i="1" s="1"/>
  <c r="AW515" i="1"/>
  <c r="H515" i="1"/>
  <c r="AV516" i="1"/>
  <c r="BC516" i="1"/>
  <c r="AX518" i="1"/>
  <c r="I518" i="1"/>
  <c r="BI518" i="1"/>
  <c r="AE518" i="1" s="1"/>
  <c r="AW519" i="1"/>
  <c r="H519" i="1"/>
  <c r="AV520" i="1"/>
  <c r="BC520" i="1"/>
  <c r="AX522" i="1"/>
  <c r="I522" i="1"/>
  <c r="BI522" i="1"/>
  <c r="AE522" i="1" s="1"/>
  <c r="AW523" i="1"/>
  <c r="H523" i="1"/>
  <c r="AV524" i="1"/>
  <c r="BC524" i="1"/>
  <c r="AX526" i="1"/>
  <c r="I526" i="1"/>
  <c r="BI526" i="1"/>
  <c r="AE526" i="1" s="1"/>
  <c r="AW527" i="1"/>
  <c r="H527" i="1"/>
  <c r="AV528" i="1"/>
  <c r="BC528" i="1"/>
  <c r="AX530" i="1"/>
  <c r="I530" i="1"/>
  <c r="BI530" i="1"/>
  <c r="AE530" i="1" s="1"/>
  <c r="AW531" i="1"/>
  <c r="H531" i="1"/>
  <c r="AV532" i="1"/>
  <c r="BC532" i="1"/>
  <c r="AX534" i="1"/>
  <c r="I534" i="1"/>
  <c r="BI534" i="1"/>
  <c r="AE534" i="1" s="1"/>
  <c r="AW535" i="1"/>
  <c r="H535" i="1"/>
  <c r="AV536" i="1"/>
  <c r="BC536" i="1"/>
  <c r="AX538" i="1"/>
  <c r="I538" i="1"/>
  <c r="BI538" i="1"/>
  <c r="AE538" i="1" s="1"/>
  <c r="AV548" i="1"/>
  <c r="BC548" i="1"/>
  <c r="AW562" i="1"/>
  <c r="H562" i="1"/>
  <c r="BH562" i="1"/>
  <c r="AD562" i="1" s="1"/>
  <c r="I580" i="1"/>
  <c r="BI580" i="1"/>
  <c r="AE580" i="1" s="1"/>
  <c r="AX580" i="1"/>
  <c r="AV585" i="1"/>
  <c r="BC585" i="1"/>
  <c r="H589" i="1"/>
  <c r="BH589" i="1"/>
  <c r="AD589" i="1" s="1"/>
  <c r="AW589" i="1"/>
  <c r="I617" i="1"/>
  <c r="BI617" i="1"/>
  <c r="AG617" i="1" s="1"/>
  <c r="AX617" i="1"/>
  <c r="H618" i="1"/>
  <c r="BH618" i="1"/>
  <c r="AF618" i="1" s="1"/>
  <c r="AW618" i="1"/>
  <c r="AX624" i="1"/>
  <c r="I624" i="1"/>
  <c r="BI624" i="1"/>
  <c r="AG624" i="1" s="1"/>
  <c r="BC631" i="1"/>
  <c r="AV631" i="1"/>
  <c r="AW488" i="1"/>
  <c r="H488" i="1"/>
  <c r="AX491" i="1"/>
  <c r="I491" i="1"/>
  <c r="AX492" i="1"/>
  <c r="AW496" i="1"/>
  <c r="H496" i="1"/>
  <c r="AX499" i="1"/>
  <c r="I499" i="1"/>
  <c r="AX500" i="1"/>
  <c r="AW504" i="1"/>
  <c r="H504" i="1"/>
  <c r="AV505" i="1"/>
  <c r="BC505" i="1"/>
  <c r="AX507" i="1"/>
  <c r="I507" i="1"/>
  <c r="BI507" i="1"/>
  <c r="AE507" i="1" s="1"/>
  <c r="AW508" i="1"/>
  <c r="H508" i="1"/>
  <c r="AV509" i="1"/>
  <c r="BC509" i="1"/>
  <c r="AU511" i="1"/>
  <c r="BH535" i="1"/>
  <c r="AD535" i="1" s="1"/>
  <c r="AX539" i="1"/>
  <c r="I539" i="1"/>
  <c r="BI539" i="1"/>
  <c r="AE539" i="1" s="1"/>
  <c r="AV570" i="1"/>
  <c r="BC570" i="1"/>
  <c r="H574" i="1"/>
  <c r="BH574" i="1"/>
  <c r="AD574" i="1" s="1"/>
  <c r="AW574" i="1"/>
  <c r="AL580" i="1"/>
  <c r="AU578" i="1" s="1"/>
  <c r="J578" i="1"/>
  <c r="I588" i="1"/>
  <c r="BI588" i="1"/>
  <c r="AE588" i="1" s="1"/>
  <c r="AX588" i="1"/>
  <c r="H592" i="1"/>
  <c r="BH592" i="1"/>
  <c r="AD592" i="1" s="1"/>
  <c r="AW592" i="1"/>
  <c r="BC604" i="1"/>
  <c r="AV604" i="1"/>
  <c r="AV610" i="1"/>
  <c r="BC610" i="1"/>
  <c r="H634" i="1"/>
  <c r="BH634" i="1"/>
  <c r="AF634" i="1" s="1"/>
  <c r="AW634" i="1"/>
  <c r="AW637" i="1"/>
  <c r="H637" i="1"/>
  <c r="AX640" i="1"/>
  <c r="I640" i="1"/>
  <c r="AV642" i="1"/>
  <c r="BC642" i="1"/>
  <c r="AW647" i="1"/>
  <c r="BH647" i="1"/>
  <c r="AF647" i="1" s="1"/>
  <c r="I659" i="1"/>
  <c r="BI659" i="1"/>
  <c r="AG659" i="1" s="1"/>
  <c r="H660" i="1"/>
  <c r="BH660" i="1"/>
  <c r="AF660" i="1" s="1"/>
  <c r="AW660" i="1"/>
  <c r="AW663" i="1"/>
  <c r="H663" i="1"/>
  <c r="BH663" i="1"/>
  <c r="AF663" i="1" s="1"/>
  <c r="I675" i="1"/>
  <c r="BI675" i="1"/>
  <c r="AG675" i="1" s="1"/>
  <c r="H676" i="1"/>
  <c r="BH676" i="1"/>
  <c r="AF676" i="1" s="1"/>
  <c r="AW676" i="1"/>
  <c r="AW679" i="1"/>
  <c r="H679" i="1"/>
  <c r="BH679" i="1"/>
  <c r="AF679" i="1" s="1"/>
  <c r="AV692" i="1"/>
  <c r="BC692" i="1"/>
  <c r="AW711" i="1"/>
  <c r="H711" i="1"/>
  <c r="BH711" i="1"/>
  <c r="AF711" i="1" s="1"/>
  <c r="AW723" i="1"/>
  <c r="H723" i="1"/>
  <c r="BH723" i="1"/>
  <c r="AF723" i="1" s="1"/>
  <c r="I755" i="1"/>
  <c r="AX755" i="1"/>
  <c r="AV755" i="1" s="1"/>
  <c r="BI755" i="1"/>
  <c r="AG755" i="1" s="1"/>
  <c r="H764" i="1"/>
  <c r="AW764" i="1"/>
  <c r="BH764" i="1"/>
  <c r="AF764" i="1" s="1"/>
  <c r="AV782" i="1"/>
  <c r="BC782" i="1"/>
  <c r="AV793" i="1"/>
  <c r="BC793" i="1"/>
  <c r="BI504" i="1"/>
  <c r="AE504" i="1" s="1"/>
  <c r="BH505" i="1"/>
  <c r="AD505" i="1" s="1"/>
  <c r="BI508" i="1"/>
  <c r="AE508" i="1" s="1"/>
  <c r="BH509" i="1"/>
  <c r="AD509" i="1" s="1"/>
  <c r="BH512" i="1"/>
  <c r="AD512" i="1" s="1"/>
  <c r="BI515" i="1"/>
  <c r="AE515" i="1" s="1"/>
  <c r="BH516" i="1"/>
  <c r="AD516" i="1" s="1"/>
  <c r="BI519" i="1"/>
  <c r="AE519" i="1" s="1"/>
  <c r="BH520" i="1"/>
  <c r="AD520" i="1" s="1"/>
  <c r="BI523" i="1"/>
  <c r="AE523" i="1" s="1"/>
  <c r="BH524" i="1"/>
  <c r="AD524" i="1" s="1"/>
  <c r="BI527" i="1"/>
  <c r="AE527" i="1" s="1"/>
  <c r="BH528" i="1"/>
  <c r="AD528" i="1" s="1"/>
  <c r="BI531" i="1"/>
  <c r="AE531" i="1" s="1"/>
  <c r="BH532" i="1"/>
  <c r="AD532" i="1" s="1"/>
  <c r="BI535" i="1"/>
  <c r="AE535" i="1" s="1"/>
  <c r="BH536" i="1"/>
  <c r="AD536" i="1" s="1"/>
  <c r="AV541" i="1"/>
  <c r="BC541" i="1"/>
  <c r="AW547" i="1"/>
  <c r="H547" i="1"/>
  <c r="AX550" i="1"/>
  <c r="I550" i="1"/>
  <c r="AW555" i="1"/>
  <c r="H555" i="1"/>
  <c r="AV556" i="1"/>
  <c r="BC556" i="1"/>
  <c r="AV559" i="1"/>
  <c r="BC559" i="1"/>
  <c r="AV567" i="1"/>
  <c r="BC567" i="1"/>
  <c r="AU569" i="1"/>
  <c r="AX572" i="1"/>
  <c r="I572" i="1"/>
  <c r="AW577" i="1"/>
  <c r="H577" i="1"/>
  <c r="AX579" i="1"/>
  <c r="I579" i="1"/>
  <c r="AW584" i="1"/>
  <c r="H584" i="1"/>
  <c r="BC586" i="1"/>
  <c r="AX587" i="1"/>
  <c r="I587" i="1"/>
  <c r="AS590" i="1"/>
  <c r="AX594" i="1"/>
  <c r="I594" i="1"/>
  <c r="AW599" i="1"/>
  <c r="H599" i="1"/>
  <c r="AW606" i="1"/>
  <c r="H606" i="1"/>
  <c r="H602" i="1" s="1"/>
  <c r="AV608" i="1"/>
  <c r="AX612" i="1"/>
  <c r="I612" i="1"/>
  <c r="BI613" i="1"/>
  <c r="AG613" i="1" s="1"/>
  <c r="AW614" i="1"/>
  <c r="BH614" i="1"/>
  <c r="AF614" i="1" s="1"/>
  <c r="AV623" i="1"/>
  <c r="AW625" i="1"/>
  <c r="H625" i="1"/>
  <c r="AX628" i="1"/>
  <c r="I628" i="1"/>
  <c r="BI629" i="1"/>
  <c r="AG629" i="1" s="1"/>
  <c r="AW630" i="1"/>
  <c r="BH630" i="1"/>
  <c r="AF630" i="1" s="1"/>
  <c r="AV639" i="1"/>
  <c r="AW641" i="1"/>
  <c r="H641" i="1"/>
  <c r="AX644" i="1"/>
  <c r="I644" i="1"/>
  <c r="BI645" i="1"/>
  <c r="AG645" i="1" s="1"/>
  <c r="AW646" i="1"/>
  <c r="BH646" i="1"/>
  <c r="AF646" i="1" s="1"/>
  <c r="AV648" i="1"/>
  <c r="BC648" i="1"/>
  <c r="AX654" i="1"/>
  <c r="I654" i="1"/>
  <c r="BI654" i="1"/>
  <c r="AG654" i="1" s="1"/>
  <c r="AX659" i="1"/>
  <c r="AV664" i="1"/>
  <c r="BC664" i="1"/>
  <c r="AX670" i="1"/>
  <c r="I670" i="1"/>
  <c r="BI670" i="1"/>
  <c r="AG670" i="1" s="1"/>
  <c r="AX675" i="1"/>
  <c r="AV680" i="1"/>
  <c r="BC680" i="1"/>
  <c r="AX690" i="1"/>
  <c r="I690" i="1"/>
  <c r="BI690" i="1"/>
  <c r="AG690" i="1" s="1"/>
  <c r="AX730" i="1"/>
  <c r="I730" i="1"/>
  <c r="BI730" i="1"/>
  <c r="AG730" i="1" s="1"/>
  <c r="AX486" i="1"/>
  <c r="AV486" i="1" s="1"/>
  <c r="AW487" i="1"/>
  <c r="AX490" i="1"/>
  <c r="AV490" i="1" s="1"/>
  <c r="AW491" i="1"/>
  <c r="AX494" i="1"/>
  <c r="AV494" i="1" s="1"/>
  <c r="AW495" i="1"/>
  <c r="AX498" i="1"/>
  <c r="AV498" i="1" s="1"/>
  <c r="AW499" i="1"/>
  <c r="AX502" i="1"/>
  <c r="AV502" i="1" s="1"/>
  <c r="AW503" i="1"/>
  <c r="AX506" i="1"/>
  <c r="AV506" i="1" s="1"/>
  <c r="AW507" i="1"/>
  <c r="AX510" i="1"/>
  <c r="AV510" i="1" s="1"/>
  <c r="AX513" i="1"/>
  <c r="AV513" i="1" s="1"/>
  <c r="AW514" i="1"/>
  <c r="AX517" i="1"/>
  <c r="AV517" i="1" s="1"/>
  <c r="AW518" i="1"/>
  <c r="AX521" i="1"/>
  <c r="AV521" i="1" s="1"/>
  <c r="AW522" i="1"/>
  <c r="AX525" i="1"/>
  <c r="AV525" i="1" s="1"/>
  <c r="AW526" i="1"/>
  <c r="AX529" i="1"/>
  <c r="AV529" i="1" s="1"/>
  <c r="AW530" i="1"/>
  <c r="AX533" i="1"/>
  <c r="AV533" i="1" s="1"/>
  <c r="AW534" i="1"/>
  <c r="AX537" i="1"/>
  <c r="AV537" i="1" s="1"/>
  <c r="AW538" i="1"/>
  <c r="AW540" i="1"/>
  <c r="H540" i="1"/>
  <c r="AX543" i="1"/>
  <c r="I543" i="1"/>
  <c r="AX544" i="1"/>
  <c r="AL547" i="1"/>
  <c r="AU546" i="1" s="1"/>
  <c r="J546" i="1"/>
  <c r="BI550" i="1"/>
  <c r="AE550" i="1" s="1"/>
  <c r="AW558" i="1"/>
  <c r="H558" i="1"/>
  <c r="AX561" i="1"/>
  <c r="I561" i="1"/>
  <c r="AX562" i="1"/>
  <c r="AW566" i="1"/>
  <c r="H566" i="1"/>
  <c r="AS578" i="1"/>
  <c r="AX598" i="1"/>
  <c r="I598" i="1"/>
  <c r="L41" i="3"/>
  <c r="N41" i="3" s="1"/>
  <c r="AX605" i="1"/>
  <c r="I605" i="1"/>
  <c r="I602" i="1" s="1"/>
  <c r="AV611" i="1"/>
  <c r="AW613" i="1"/>
  <c r="H613" i="1"/>
  <c r="AX616" i="1"/>
  <c r="I616" i="1"/>
  <c r="AV627" i="1"/>
  <c r="AW629" i="1"/>
  <c r="H629" i="1"/>
  <c r="AX632" i="1"/>
  <c r="I632" i="1"/>
  <c r="BH637" i="1"/>
  <c r="AF637" i="1" s="1"/>
  <c r="BI640" i="1"/>
  <c r="AG640" i="1" s="1"/>
  <c r="AV643" i="1"/>
  <c r="AW645" i="1"/>
  <c r="H645" i="1"/>
  <c r="I651" i="1"/>
  <c r="BI651" i="1"/>
  <c r="AG651" i="1" s="1"/>
  <c r="H652" i="1"/>
  <c r="BH652" i="1"/>
  <c r="AF652" i="1" s="1"/>
  <c r="AW652" i="1"/>
  <c r="AW655" i="1"/>
  <c r="H655" i="1"/>
  <c r="BH655" i="1"/>
  <c r="AF655" i="1" s="1"/>
  <c r="I667" i="1"/>
  <c r="BI667" i="1"/>
  <c r="AG667" i="1" s="1"/>
  <c r="H668" i="1"/>
  <c r="BH668" i="1"/>
  <c r="AF668" i="1" s="1"/>
  <c r="AW668" i="1"/>
  <c r="AW671" i="1"/>
  <c r="H671" i="1"/>
  <c r="BH671" i="1"/>
  <c r="AF671" i="1" s="1"/>
  <c r="I683" i="1"/>
  <c r="BI683" i="1"/>
  <c r="AG683" i="1" s="1"/>
  <c r="H684" i="1"/>
  <c r="BH684" i="1"/>
  <c r="AF684" i="1" s="1"/>
  <c r="AW684" i="1"/>
  <c r="AX694" i="1"/>
  <c r="I694" i="1"/>
  <c r="BI694" i="1"/>
  <c r="AG694" i="1" s="1"/>
  <c r="BH539" i="1"/>
  <c r="AD539" i="1" s="1"/>
  <c r="AW539" i="1"/>
  <c r="BI544" i="1"/>
  <c r="AE544" i="1" s="1"/>
  <c r="AS546" i="1"/>
  <c r="BH547" i="1"/>
  <c r="AD547" i="1" s="1"/>
  <c r="AW551" i="1"/>
  <c r="H551" i="1"/>
  <c r="AX554" i="1"/>
  <c r="I554" i="1"/>
  <c r="BH555" i="1"/>
  <c r="AD555" i="1" s="1"/>
  <c r="AL558" i="1"/>
  <c r="AU557" i="1" s="1"/>
  <c r="J557" i="1"/>
  <c r="BI562" i="1"/>
  <c r="AE562" i="1" s="1"/>
  <c r="AW563" i="1"/>
  <c r="BH563" i="1"/>
  <c r="AD563" i="1" s="1"/>
  <c r="J569" i="1"/>
  <c r="AW573" i="1"/>
  <c r="H573" i="1"/>
  <c r="H569" i="1" s="1"/>
  <c r="AX576" i="1"/>
  <c r="I576" i="1"/>
  <c r="AT578" i="1"/>
  <c r="AW580" i="1"/>
  <c r="H580" i="1"/>
  <c r="AX583" i="1"/>
  <c r="I583" i="1"/>
  <c r="AW588" i="1"/>
  <c r="H588" i="1"/>
  <c r="AW591" i="1"/>
  <c r="H591" i="1"/>
  <c r="H590" i="1" s="1"/>
  <c r="AV596" i="1"/>
  <c r="BC596" i="1"/>
  <c r="AV603" i="1"/>
  <c r="BC603" i="1"/>
  <c r="J609" i="1"/>
  <c r="AW617" i="1"/>
  <c r="H617" i="1"/>
  <c r="AX620" i="1"/>
  <c r="I620" i="1"/>
  <c r="AV622" i="1"/>
  <c r="BC622" i="1"/>
  <c r="AW633" i="1"/>
  <c r="H633" i="1"/>
  <c r="AX636" i="1"/>
  <c r="I636" i="1"/>
  <c r="AV638" i="1"/>
  <c r="BC638" i="1"/>
  <c r="H647" i="1"/>
  <c r="AX651" i="1"/>
  <c r="AV656" i="1"/>
  <c r="BC656" i="1"/>
  <c r="AX662" i="1"/>
  <c r="I662" i="1"/>
  <c r="BI662" i="1"/>
  <c r="AG662" i="1" s="1"/>
  <c r="AX667" i="1"/>
  <c r="AV672" i="1"/>
  <c r="BC672" i="1"/>
  <c r="AX678" i="1"/>
  <c r="I678" i="1"/>
  <c r="BI678" i="1"/>
  <c r="AG678" i="1" s="1"/>
  <c r="AV688" i="1"/>
  <c r="BC688" i="1"/>
  <c r="AW703" i="1"/>
  <c r="H703" i="1"/>
  <c r="BH703" i="1"/>
  <c r="AF703" i="1" s="1"/>
  <c r="AV724" i="1"/>
  <c r="BC724" i="1"/>
  <c r="BC685" i="1"/>
  <c r="AX686" i="1"/>
  <c r="I686" i="1"/>
  <c r="AW687" i="1"/>
  <c r="H687" i="1"/>
  <c r="AW691" i="1"/>
  <c r="H691" i="1"/>
  <c r="BI696" i="1"/>
  <c r="AG696" i="1" s="1"/>
  <c r="I696" i="1"/>
  <c r="AX696" i="1"/>
  <c r="AX702" i="1"/>
  <c r="I702" i="1"/>
  <c r="BI702" i="1"/>
  <c r="AG702" i="1" s="1"/>
  <c r="AX722" i="1"/>
  <c r="I722" i="1"/>
  <c r="BI722" i="1"/>
  <c r="AG722" i="1" s="1"/>
  <c r="AW727" i="1"/>
  <c r="H727" i="1"/>
  <c r="AV728" i="1"/>
  <c r="BC728" i="1"/>
  <c r="AX734" i="1"/>
  <c r="I734" i="1"/>
  <c r="BC754" i="1"/>
  <c r="AV754" i="1"/>
  <c r="H756" i="1"/>
  <c r="AW756" i="1"/>
  <c r="BH756" i="1"/>
  <c r="AF756" i="1" s="1"/>
  <c r="J766" i="1"/>
  <c r="AL767" i="1"/>
  <c r="AU766" i="1" s="1"/>
  <c r="AX542" i="1"/>
  <c r="AV542" i="1" s="1"/>
  <c r="AW543" i="1"/>
  <c r="AX549" i="1"/>
  <c r="AV549" i="1" s="1"/>
  <c r="AW550" i="1"/>
  <c r="AX553" i="1"/>
  <c r="AV553" i="1" s="1"/>
  <c r="AW554" i="1"/>
  <c r="AX560" i="1"/>
  <c r="AV560" i="1" s="1"/>
  <c r="AW561" i="1"/>
  <c r="AX564" i="1"/>
  <c r="BC564" i="1" s="1"/>
  <c r="AW565" i="1"/>
  <c r="AX568" i="1"/>
  <c r="AV568" i="1" s="1"/>
  <c r="AX571" i="1"/>
  <c r="AV571" i="1" s="1"/>
  <c r="AW572" i="1"/>
  <c r="J20" i="2" s="1"/>
  <c r="AX575" i="1"/>
  <c r="AV575" i="1" s="1"/>
  <c r="AW576" i="1"/>
  <c r="AW579" i="1"/>
  <c r="AX582" i="1"/>
  <c r="AV582" i="1" s="1"/>
  <c r="AW583" i="1"/>
  <c r="AX586" i="1"/>
  <c r="AV586" i="1" s="1"/>
  <c r="AW587" i="1"/>
  <c r="BI686" i="1"/>
  <c r="AG686" i="1" s="1"/>
  <c r="AW695" i="1"/>
  <c r="H695" i="1"/>
  <c r="AV696" i="1"/>
  <c r="BC696" i="1"/>
  <c r="H700" i="1"/>
  <c r="BH700" i="1"/>
  <c r="AF700" i="1" s="1"/>
  <c r="AW700" i="1"/>
  <c r="AV704" i="1"/>
  <c r="BC704" i="1"/>
  <c r="AV705" i="1"/>
  <c r="BC705" i="1"/>
  <c r="AT707" i="1"/>
  <c r="AX710" i="1"/>
  <c r="I710" i="1"/>
  <c r="BI710" i="1"/>
  <c r="AG710" i="1" s="1"/>
  <c r="BC717" i="1"/>
  <c r="BH727" i="1"/>
  <c r="AF727" i="1" s="1"/>
  <c r="AW731" i="1"/>
  <c r="H731" i="1"/>
  <c r="AV732" i="1"/>
  <c r="BC732" i="1"/>
  <c r="H748" i="1"/>
  <c r="H746" i="1" s="1"/>
  <c r="AW748" i="1"/>
  <c r="BH748" i="1"/>
  <c r="AF748" i="1" s="1"/>
  <c r="AL753" i="1"/>
  <c r="AU746" i="1" s="1"/>
  <c r="J746" i="1"/>
  <c r="AX650" i="1"/>
  <c r="I650" i="1"/>
  <c r="AW651" i="1"/>
  <c r="H651" i="1"/>
  <c r="AX655" i="1"/>
  <c r="AX658" i="1"/>
  <c r="I658" i="1"/>
  <c r="AW659" i="1"/>
  <c r="H659" i="1"/>
  <c r="AX663" i="1"/>
  <c r="AX666" i="1"/>
  <c r="I666" i="1"/>
  <c r="AW667" i="1"/>
  <c r="H667" i="1"/>
  <c r="AX671" i="1"/>
  <c r="AX674" i="1"/>
  <c r="I674" i="1"/>
  <c r="AW675" i="1"/>
  <c r="H675" i="1"/>
  <c r="AX679" i="1"/>
  <c r="AX682" i="1"/>
  <c r="I682" i="1"/>
  <c r="AW683" i="1"/>
  <c r="H683" i="1"/>
  <c r="AX687" i="1"/>
  <c r="BH687" i="1"/>
  <c r="AF687" i="1" s="1"/>
  <c r="AX691" i="1"/>
  <c r="BH691" i="1"/>
  <c r="AF691" i="1" s="1"/>
  <c r="BC699" i="1"/>
  <c r="BI700" i="1"/>
  <c r="AG700" i="1" s="1"/>
  <c r="AX700" i="1"/>
  <c r="J707" i="1"/>
  <c r="AV708" i="1"/>
  <c r="BC708" i="1"/>
  <c r="AX726" i="1"/>
  <c r="I726" i="1"/>
  <c r="BH731" i="1"/>
  <c r="AF731" i="1" s="1"/>
  <c r="BH735" i="1"/>
  <c r="AF735" i="1" s="1"/>
  <c r="AW735" i="1"/>
  <c r="H735" i="1"/>
  <c r="I736" i="1"/>
  <c r="AX736" i="1"/>
  <c r="AV736" i="1" s="1"/>
  <c r="BI736" i="1"/>
  <c r="AG736" i="1" s="1"/>
  <c r="AX649" i="1"/>
  <c r="AV649" i="1" s="1"/>
  <c r="AW650" i="1"/>
  <c r="AX653" i="1"/>
  <c r="AV653" i="1" s="1"/>
  <c r="AW654" i="1"/>
  <c r="AX657" i="1"/>
  <c r="AV657" i="1" s="1"/>
  <c r="AW658" i="1"/>
  <c r="AX661" i="1"/>
  <c r="AV661" i="1" s="1"/>
  <c r="AW662" i="1"/>
  <c r="AX665" i="1"/>
  <c r="AV665" i="1" s="1"/>
  <c r="AW666" i="1"/>
  <c r="AX669" i="1"/>
  <c r="AV669" i="1" s="1"/>
  <c r="AW670" i="1"/>
  <c r="AX673" i="1"/>
  <c r="AV673" i="1" s="1"/>
  <c r="AW674" i="1"/>
  <c r="AX677" i="1"/>
  <c r="BC677" i="1" s="1"/>
  <c r="AW678" i="1"/>
  <c r="AX681" i="1"/>
  <c r="AV681" i="1" s="1"/>
  <c r="AW682" i="1"/>
  <c r="AX685" i="1"/>
  <c r="AV685" i="1" s="1"/>
  <c r="AW686" i="1"/>
  <c r="BC706" i="1"/>
  <c r="AU707" i="1"/>
  <c r="AV712" i="1"/>
  <c r="BC712" i="1"/>
  <c r="AX714" i="1"/>
  <c r="I714" i="1"/>
  <c r="AW715" i="1"/>
  <c r="H715" i="1"/>
  <c r="H707" i="1" s="1"/>
  <c r="AW719" i="1"/>
  <c r="H719" i="1"/>
  <c r="BC729" i="1"/>
  <c r="H737" i="1"/>
  <c r="AW737" i="1"/>
  <c r="BH737" i="1"/>
  <c r="AF737" i="1" s="1"/>
  <c r="I744" i="1"/>
  <c r="AX744" i="1"/>
  <c r="AV744" i="1" s="1"/>
  <c r="BI744" i="1"/>
  <c r="AG744" i="1" s="1"/>
  <c r="H760" i="1"/>
  <c r="AW760" i="1"/>
  <c r="BH760" i="1"/>
  <c r="AF760" i="1" s="1"/>
  <c r="H699" i="1"/>
  <c r="AV716" i="1"/>
  <c r="BC716" i="1"/>
  <c r="AX718" i="1"/>
  <c r="I718" i="1"/>
  <c r="BI718" i="1"/>
  <c r="AG718" i="1" s="1"/>
  <c r="AV720" i="1"/>
  <c r="BC720" i="1"/>
  <c r="BC743" i="1"/>
  <c r="AV743" i="1"/>
  <c r="H745" i="1"/>
  <c r="AW745" i="1"/>
  <c r="BH745" i="1"/>
  <c r="AF745" i="1" s="1"/>
  <c r="I747" i="1"/>
  <c r="AX747" i="1"/>
  <c r="AV747" i="1" s="1"/>
  <c r="BI747" i="1"/>
  <c r="AG747" i="1" s="1"/>
  <c r="BH708" i="1"/>
  <c r="AF708" i="1" s="1"/>
  <c r="BI711" i="1"/>
  <c r="AG711" i="1" s="1"/>
  <c r="BH712" i="1"/>
  <c r="AF712" i="1" s="1"/>
  <c r="BI715" i="1"/>
  <c r="AG715" i="1" s="1"/>
  <c r="BH716" i="1"/>
  <c r="AF716" i="1" s="1"/>
  <c r="BI719" i="1"/>
  <c r="AG719" i="1" s="1"/>
  <c r="BH720" i="1"/>
  <c r="AF720" i="1" s="1"/>
  <c r="BI723" i="1"/>
  <c r="AG723" i="1" s="1"/>
  <c r="BH724" i="1"/>
  <c r="AF724" i="1" s="1"/>
  <c r="BI727" i="1"/>
  <c r="AG727" i="1" s="1"/>
  <c r="BH728" i="1"/>
  <c r="AF728" i="1" s="1"/>
  <c r="BI731" i="1"/>
  <c r="AG731" i="1" s="1"/>
  <c r="BH732" i="1"/>
  <c r="AF732" i="1" s="1"/>
  <c r="AX735" i="1"/>
  <c r="BI735" i="1"/>
  <c r="AG735" i="1" s="1"/>
  <c r="BC742" i="1"/>
  <c r="AV742" i="1"/>
  <c r="AS746" i="1"/>
  <c r="BC753" i="1"/>
  <c r="AV753" i="1"/>
  <c r="BI756" i="1"/>
  <c r="AG756" i="1" s="1"/>
  <c r="I756" i="1"/>
  <c r="BC757" i="1"/>
  <c r="AV757" i="1"/>
  <c r="I759" i="1"/>
  <c r="AX759" i="1"/>
  <c r="AV759" i="1" s="1"/>
  <c r="BI759" i="1"/>
  <c r="AG759" i="1" s="1"/>
  <c r="BC761" i="1"/>
  <c r="AV761" i="1"/>
  <c r="I763" i="1"/>
  <c r="AX763" i="1"/>
  <c r="AV763" i="1" s="1"/>
  <c r="BI763" i="1"/>
  <c r="AG763" i="1" s="1"/>
  <c r="BC765" i="1"/>
  <c r="AV765" i="1"/>
  <c r="H767" i="1"/>
  <c r="AW767" i="1"/>
  <c r="AV770" i="1"/>
  <c r="H771" i="1"/>
  <c r="AW771" i="1"/>
  <c r="AV778" i="1"/>
  <c r="BC778" i="1"/>
  <c r="AV789" i="1"/>
  <c r="BC789" i="1"/>
  <c r="AX706" i="1"/>
  <c r="AV706" i="1" s="1"/>
  <c r="AX709" i="1"/>
  <c r="AV709" i="1" s="1"/>
  <c r="AX713" i="1"/>
  <c r="AV713" i="1" s="1"/>
  <c r="AX717" i="1"/>
  <c r="AV717" i="1" s="1"/>
  <c r="AW718" i="1"/>
  <c r="AX725" i="1"/>
  <c r="AV725" i="1" s="1"/>
  <c r="AW726" i="1"/>
  <c r="AX729" i="1"/>
  <c r="AV729" i="1" s="1"/>
  <c r="AW730" i="1"/>
  <c r="AX733" i="1"/>
  <c r="AV733" i="1" s="1"/>
  <c r="AW734" i="1"/>
  <c r="AX737" i="1"/>
  <c r="BC739" i="1"/>
  <c r="I740" i="1"/>
  <c r="AX740" i="1"/>
  <c r="BC740" i="1" s="1"/>
  <c r="H741" i="1"/>
  <c r="AW741" i="1"/>
  <c r="AX745" i="1"/>
  <c r="AT746" i="1"/>
  <c r="AX748" i="1"/>
  <c r="BC750" i="1"/>
  <c r="I751" i="1"/>
  <c r="AX751" i="1"/>
  <c r="BC751" i="1" s="1"/>
  <c r="H752" i="1"/>
  <c r="AW752" i="1"/>
  <c r="AX756" i="1"/>
  <c r="BC758" i="1"/>
  <c r="BC762" i="1"/>
  <c r="BH767" i="1"/>
  <c r="AF767" i="1" s="1"/>
  <c r="BC768" i="1"/>
  <c r="AV768" i="1"/>
  <c r="I770" i="1"/>
  <c r="AX770" i="1"/>
  <c r="BI770" i="1"/>
  <c r="AG770" i="1" s="1"/>
  <c r="BH771" i="1"/>
  <c r="AF771" i="1" s="1"/>
  <c r="BC772" i="1"/>
  <c r="AV772" i="1"/>
  <c r="I774" i="1"/>
  <c r="AX774" i="1"/>
  <c r="AV774" i="1" s="1"/>
  <c r="BI774" i="1"/>
  <c r="AG774" i="1" s="1"/>
  <c r="H775" i="1"/>
  <c r="AW775" i="1"/>
  <c r="I735" i="1"/>
  <c r="BI737" i="1"/>
  <c r="AG737" i="1" s="1"/>
  <c r="AW738" i="1"/>
  <c r="BH738" i="1"/>
  <c r="AF738" i="1" s="1"/>
  <c r="BI745" i="1"/>
  <c r="AG745" i="1" s="1"/>
  <c r="BI748" i="1"/>
  <c r="AG748" i="1" s="1"/>
  <c r="AW749" i="1"/>
  <c r="BH749" i="1"/>
  <c r="AF749" i="1" s="1"/>
  <c r="BC769" i="1"/>
  <c r="BC770" i="1"/>
  <c r="BC773" i="1"/>
  <c r="BC774" i="1"/>
  <c r="BH775" i="1"/>
  <c r="AF775" i="1" s="1"/>
  <c r="AU786" i="1"/>
  <c r="AV797" i="1"/>
  <c r="BC797" i="1"/>
  <c r="AU801" i="1"/>
  <c r="BH736" i="1"/>
  <c r="AF736" i="1" s="1"/>
  <c r="BI739" i="1"/>
  <c r="AG739" i="1" s="1"/>
  <c r="BH740" i="1"/>
  <c r="AF740" i="1" s="1"/>
  <c r="BI743" i="1"/>
  <c r="AG743" i="1" s="1"/>
  <c r="BH744" i="1"/>
  <c r="AF744" i="1" s="1"/>
  <c r="BH747" i="1"/>
  <c r="AF747" i="1" s="1"/>
  <c r="BI750" i="1"/>
  <c r="AG750" i="1" s="1"/>
  <c r="BH751" i="1"/>
  <c r="AF751" i="1" s="1"/>
  <c r="BI754" i="1"/>
  <c r="AG754" i="1" s="1"/>
  <c r="BH755" i="1"/>
  <c r="AF755" i="1" s="1"/>
  <c r="H757" i="1"/>
  <c r="BI758" i="1"/>
  <c r="AG758" i="1" s="1"/>
  <c r="BH759" i="1"/>
  <c r="AF759" i="1" s="1"/>
  <c r="I760" i="1"/>
  <c r="H761" i="1"/>
  <c r="BI762" i="1"/>
  <c r="AG762" i="1" s="1"/>
  <c r="BH763" i="1"/>
  <c r="AF763" i="1" s="1"/>
  <c r="I764" i="1"/>
  <c r="H765" i="1"/>
  <c r="I767" i="1"/>
  <c r="H768" i="1"/>
  <c r="BI769" i="1"/>
  <c r="AG769" i="1" s="1"/>
  <c r="BH770" i="1"/>
  <c r="AF770" i="1" s="1"/>
  <c r="I771" i="1"/>
  <c r="H772" i="1"/>
  <c r="BI773" i="1"/>
  <c r="AG773" i="1" s="1"/>
  <c r="BH774" i="1"/>
  <c r="AF774" i="1" s="1"/>
  <c r="BI777" i="1"/>
  <c r="AG777" i="1" s="1"/>
  <c r="BH778" i="1"/>
  <c r="AF778" i="1" s="1"/>
  <c r="BI781" i="1"/>
  <c r="AG781" i="1" s="1"/>
  <c r="BH782" i="1"/>
  <c r="AF782" i="1" s="1"/>
  <c r="BI785" i="1"/>
  <c r="AG785" i="1" s="1"/>
  <c r="G45" i="4"/>
  <c r="I45" i="4" s="1"/>
  <c r="L46" i="3"/>
  <c r="N46" i="3" s="1"/>
  <c r="BI788" i="1"/>
  <c r="AG788" i="1" s="1"/>
  <c r="BH789" i="1"/>
  <c r="AF789" i="1" s="1"/>
  <c r="BI792" i="1"/>
  <c r="AG792" i="1" s="1"/>
  <c r="BH793" i="1"/>
  <c r="AF793" i="1" s="1"/>
  <c r="BI796" i="1"/>
  <c r="AG796" i="1" s="1"/>
  <c r="BH797" i="1"/>
  <c r="AF797" i="1" s="1"/>
  <c r="BI800" i="1"/>
  <c r="AG800" i="1" s="1"/>
  <c r="G46" i="4"/>
  <c r="I46" i="4" s="1"/>
  <c r="L47" i="3"/>
  <c r="N47" i="3" s="1"/>
  <c r="BC802" i="1"/>
  <c r="AX779" i="1"/>
  <c r="AV779" i="1" s="1"/>
  <c r="I780" i="1"/>
  <c r="AW780" i="1"/>
  <c r="H781" i="1"/>
  <c r="AX783" i="1"/>
  <c r="AV783" i="1" s="1"/>
  <c r="I784" i="1"/>
  <c r="AW784" i="1"/>
  <c r="H785" i="1"/>
  <c r="I787" i="1"/>
  <c r="AW787" i="1"/>
  <c r="H788" i="1"/>
  <c r="AX790" i="1"/>
  <c r="AV790" i="1" s="1"/>
  <c r="I791" i="1"/>
  <c r="AW791" i="1"/>
  <c r="H792" i="1"/>
  <c r="AX794" i="1"/>
  <c r="BC794" i="1" s="1"/>
  <c r="I795" i="1"/>
  <c r="AW795" i="1"/>
  <c r="H796" i="1"/>
  <c r="AX798" i="1"/>
  <c r="AV798" i="1" s="1"/>
  <c r="I799" i="1"/>
  <c r="AW799" i="1"/>
  <c r="H800" i="1"/>
  <c r="AX803" i="1"/>
  <c r="AV803" i="1" s="1"/>
  <c r="BH803" i="1"/>
  <c r="AF803" i="1" s="1"/>
  <c r="AW804" i="1"/>
  <c r="BI806" i="1"/>
  <c r="AG806" i="1" s="1"/>
  <c r="AW807" i="1"/>
  <c r="H808" i="1"/>
  <c r="AW808" i="1"/>
  <c r="AX776" i="1"/>
  <c r="AV776" i="1" s="1"/>
  <c r="I777" i="1"/>
  <c r="AW777" i="1"/>
  <c r="H778" i="1"/>
  <c r="BC779" i="1"/>
  <c r="AX780" i="1"/>
  <c r="I781" i="1"/>
  <c r="AW781" i="1"/>
  <c r="H782" i="1"/>
  <c r="AX784" i="1"/>
  <c r="I785" i="1"/>
  <c r="AW785" i="1"/>
  <c r="AX787" i="1"/>
  <c r="I788" i="1"/>
  <c r="AW788" i="1"/>
  <c r="H789" i="1"/>
  <c r="AX791" i="1"/>
  <c r="I792" i="1"/>
  <c r="AW792" i="1"/>
  <c r="H793" i="1"/>
  <c r="AX795" i="1"/>
  <c r="I796" i="1"/>
  <c r="AW796" i="1"/>
  <c r="H797" i="1"/>
  <c r="AX799" i="1"/>
  <c r="I800" i="1"/>
  <c r="AW800" i="1"/>
  <c r="I803" i="1"/>
  <c r="I801" i="1" s="1"/>
  <c r="BC803" i="1"/>
  <c r="BH807" i="1"/>
  <c r="AF807" i="1" s="1"/>
  <c r="BC811" i="1"/>
  <c r="BC813" i="1"/>
  <c r="AV822" i="1"/>
  <c r="BC822" i="1"/>
  <c r="BH802" i="1"/>
  <c r="AF802" i="1" s="1"/>
  <c r="AV815" i="1"/>
  <c r="BC815" i="1"/>
  <c r="AV818" i="1"/>
  <c r="BC818" i="1"/>
  <c r="AV809" i="1"/>
  <c r="BI810" i="1"/>
  <c r="AG810" i="1" s="1"/>
  <c r="AX811" i="1"/>
  <c r="AV811" i="1" s="1"/>
  <c r="BH811" i="1"/>
  <c r="AF811" i="1" s="1"/>
  <c r="AW812" i="1"/>
  <c r="BI814" i="1"/>
  <c r="AG814" i="1" s="1"/>
  <c r="BH815" i="1"/>
  <c r="AF815" i="1" s="1"/>
  <c r="BI817" i="1"/>
  <c r="AG817" i="1" s="1"/>
  <c r="BH818" i="1"/>
  <c r="AF818" i="1" s="1"/>
  <c r="BI821" i="1"/>
  <c r="AG821" i="1" s="1"/>
  <c r="BH822" i="1"/>
  <c r="AF822" i="1" s="1"/>
  <c r="BI825" i="1"/>
  <c r="AG825" i="1" s="1"/>
  <c r="BH826" i="1"/>
  <c r="AF826" i="1" s="1"/>
  <c r="BC836" i="1"/>
  <c r="AV836" i="1"/>
  <c r="I838" i="1"/>
  <c r="AX838" i="1"/>
  <c r="BI838" i="1"/>
  <c r="AG838" i="1" s="1"/>
  <c r="AV839" i="1"/>
  <c r="BC839" i="1"/>
  <c r="BC845" i="1"/>
  <c r="AV845" i="1"/>
  <c r="AX847" i="1"/>
  <c r="BI847" i="1"/>
  <c r="AG847" i="1" s="1"/>
  <c r="I847" i="1"/>
  <c r="J816" i="1"/>
  <c r="H825" i="1"/>
  <c r="BC826" i="1"/>
  <c r="AW827" i="1"/>
  <c r="H831" i="1"/>
  <c r="BH831" i="1"/>
  <c r="AF831" i="1" s="1"/>
  <c r="BH832" i="1"/>
  <c r="AF832" i="1" s="1"/>
  <c r="AW832" i="1"/>
  <c r="H835" i="1"/>
  <c r="AW835" i="1"/>
  <c r="AW842" i="1"/>
  <c r="H842" i="1"/>
  <c r="AX809" i="1"/>
  <c r="BC809" i="1" s="1"/>
  <c r="I810" i="1"/>
  <c r="AW810" i="1"/>
  <c r="H811" i="1"/>
  <c r="AX813" i="1"/>
  <c r="AV813" i="1" s="1"/>
  <c r="I814" i="1"/>
  <c r="AW814" i="1"/>
  <c r="H815" i="1"/>
  <c r="I817" i="1"/>
  <c r="AW817" i="1"/>
  <c r="H818" i="1"/>
  <c r="BC819" i="1"/>
  <c r="AX820" i="1"/>
  <c r="I821" i="1"/>
  <c r="AW821" i="1"/>
  <c r="H822" i="1"/>
  <c r="AX824" i="1"/>
  <c r="AW825" i="1"/>
  <c r="BH827" i="1"/>
  <c r="AF827" i="1" s="1"/>
  <c r="AW828" i="1"/>
  <c r="J829" i="1"/>
  <c r="AX833" i="1"/>
  <c r="BI833" i="1"/>
  <c r="AG833" i="1" s="1"/>
  <c r="AX837" i="1"/>
  <c r="BI837" i="1"/>
  <c r="AG837" i="1" s="1"/>
  <c r="I837" i="1"/>
  <c r="BC841" i="1"/>
  <c r="BC846" i="1"/>
  <c r="J54" i="3"/>
  <c r="E54" i="4"/>
  <c r="AV830" i="1"/>
  <c r="I834" i="1"/>
  <c r="BI834" i="1"/>
  <c r="AG834" i="1" s="1"/>
  <c r="AX834" i="1"/>
  <c r="AV834" i="1" s="1"/>
  <c r="AW838" i="1"/>
  <c r="BH838" i="1"/>
  <c r="AF838" i="1" s="1"/>
  <c r="AV840" i="1"/>
  <c r="H851" i="1"/>
  <c r="AW851" i="1"/>
  <c r="BH851" i="1"/>
  <c r="AF851" i="1" s="1"/>
  <c r="E53" i="4"/>
  <c r="J53" i="3"/>
  <c r="AW852" i="1"/>
  <c r="BH852" i="1"/>
  <c r="AF852" i="1" s="1"/>
  <c r="BC853" i="1"/>
  <c r="BC854" i="1"/>
  <c r="BI854" i="1"/>
  <c r="AG854" i="1" s="1"/>
  <c r="AV855" i="1"/>
  <c r="AV856" i="1"/>
  <c r="BH858" i="1"/>
  <c r="AF858" i="1" s="1"/>
  <c r="AV861" i="1"/>
  <c r="BC865" i="1"/>
  <c r="G53" i="4"/>
  <c r="I53" i="4" s="1"/>
  <c r="L53" i="3"/>
  <c r="N53" i="3" s="1"/>
  <c r="K54" i="3"/>
  <c r="F54" i="4"/>
  <c r="BC858" i="1"/>
  <c r="J50" i="3"/>
  <c r="E50" i="4"/>
  <c r="J22" i="2"/>
  <c r="G54" i="4"/>
  <c r="I54" i="4" s="1"/>
  <c r="L54" i="3"/>
  <c r="N54" i="3" s="1"/>
  <c r="AX843" i="1"/>
  <c r="AV843" i="1" s="1"/>
  <c r="AW847" i="1"/>
  <c r="H848" i="1"/>
  <c r="I849" i="1"/>
  <c r="BI849" i="1"/>
  <c r="AG849" i="1" s="1"/>
  <c r="AX850" i="1"/>
  <c r="AV850" i="1" s="1"/>
  <c r="BC855" i="1"/>
  <c r="H858" i="1"/>
  <c r="AX859" i="1"/>
  <c r="AV859" i="1" s="1"/>
  <c r="I864" i="1"/>
  <c r="AX864" i="1"/>
  <c r="K22" i="2" s="1"/>
  <c r="E51" i="4"/>
  <c r="J51" i="3"/>
  <c r="E52" i="4"/>
  <c r="J52" i="3"/>
  <c r="I870" i="1"/>
  <c r="AX870" i="1"/>
  <c r="AV870" i="1" s="1"/>
  <c r="AW872" i="1"/>
  <c r="I843" i="1"/>
  <c r="H846" i="1"/>
  <c r="BH847" i="1"/>
  <c r="AF847" i="1" s="1"/>
  <c r="AW848" i="1"/>
  <c r="BI850" i="1"/>
  <c r="AG850" i="1" s="1"/>
  <c r="I853" i="1"/>
  <c r="BI853" i="1"/>
  <c r="AG853" i="1" s="1"/>
  <c r="AX854" i="1"/>
  <c r="AV854" i="1" s="1"/>
  <c r="BH854" i="1"/>
  <c r="AF854" i="1" s="1"/>
  <c r="I859" i="1"/>
  <c r="H862" i="1"/>
  <c r="E49" i="4" s="1"/>
  <c r="G50" i="4"/>
  <c r="I50" i="4" s="1"/>
  <c r="L50" i="3"/>
  <c r="N50" i="3" s="1"/>
  <c r="I865" i="1"/>
  <c r="BI865" i="1"/>
  <c r="G51" i="4"/>
  <c r="I51" i="4" s="1"/>
  <c r="L51" i="3"/>
  <c r="N51" i="3" s="1"/>
  <c r="I867" i="1"/>
  <c r="I866" i="1" s="1"/>
  <c r="BI867" i="1"/>
  <c r="G52" i="4"/>
  <c r="I52" i="4" s="1"/>
  <c r="L52" i="3"/>
  <c r="N52" i="3" s="1"/>
  <c r="I869" i="1"/>
  <c r="BI869" i="1"/>
  <c r="I872" i="1"/>
  <c r="I871" i="1" s="1"/>
  <c r="AL872" i="1"/>
  <c r="AU871" i="1" s="1"/>
  <c r="BH872" i="1"/>
  <c r="AW874" i="1"/>
  <c r="F29" i="7"/>
  <c r="I27" i="7"/>
  <c r="AV869" i="1" l="1"/>
  <c r="I45" i="7"/>
  <c r="I24" i="6" s="1"/>
  <c r="AV833" i="1"/>
  <c r="AV867" i="1"/>
  <c r="E32" i="4"/>
  <c r="J33" i="3"/>
  <c r="E11" i="4"/>
  <c r="J12" i="3"/>
  <c r="BC763" i="1"/>
  <c r="H578" i="1"/>
  <c r="E38" i="4" s="1"/>
  <c r="BC864" i="1"/>
  <c r="BC834" i="1"/>
  <c r="BC850" i="1"/>
  <c r="I557" i="1"/>
  <c r="I175" i="1"/>
  <c r="F25" i="4" s="1"/>
  <c r="I103" i="1"/>
  <c r="BC805" i="1"/>
  <c r="AV805" i="1"/>
  <c r="AV451" i="1"/>
  <c r="BC451" i="1"/>
  <c r="AV721" i="1"/>
  <c r="BC479" i="1"/>
  <c r="AV479" i="1"/>
  <c r="BC860" i="1"/>
  <c r="AV860" i="1"/>
  <c r="AV864" i="1"/>
  <c r="BC833" i="1"/>
  <c r="H511" i="1"/>
  <c r="I337" i="1"/>
  <c r="F29" i="4" s="1"/>
  <c r="I188" i="1"/>
  <c r="I110" i="1"/>
  <c r="K22" i="3" s="1"/>
  <c r="BC823" i="1"/>
  <c r="AV823" i="1"/>
  <c r="BC844" i="1"/>
  <c r="BC95" i="1"/>
  <c r="AV95" i="1"/>
  <c r="BC302" i="1"/>
  <c r="AV302" i="1"/>
  <c r="BC783" i="1"/>
  <c r="H557" i="1"/>
  <c r="I83" i="1"/>
  <c r="K17" i="3" s="1"/>
  <c r="AV75" i="1"/>
  <c r="BC75" i="1"/>
  <c r="BC473" i="1"/>
  <c r="BC303" i="1"/>
  <c r="AV693" i="1"/>
  <c r="AV701" i="1"/>
  <c r="BC472" i="1"/>
  <c r="AV472" i="1"/>
  <c r="H786" i="1"/>
  <c r="J46" i="3" s="1"/>
  <c r="BC859" i="1"/>
  <c r="I816" i="1"/>
  <c r="BC755" i="1"/>
  <c r="BC575" i="1"/>
  <c r="I569" i="1"/>
  <c r="K38" i="3" s="1"/>
  <c r="BC457" i="1"/>
  <c r="H110" i="1"/>
  <c r="H58" i="1"/>
  <c r="AV439" i="1"/>
  <c r="BC439" i="1"/>
  <c r="BC93" i="1"/>
  <c r="BC286" i="1"/>
  <c r="AV286" i="1"/>
  <c r="AV447" i="1"/>
  <c r="BC447" i="1"/>
  <c r="H546" i="1"/>
  <c r="I511" i="1"/>
  <c r="K35" i="3" s="1"/>
  <c r="I480" i="1"/>
  <c r="H273" i="1"/>
  <c r="BC62" i="1"/>
  <c r="AV689" i="1"/>
  <c r="BC482" i="1"/>
  <c r="AV482" i="1"/>
  <c r="H801" i="1"/>
  <c r="I707" i="1"/>
  <c r="F42" i="4" s="1"/>
  <c r="C19" i="6"/>
  <c r="BC600" i="1"/>
  <c r="H142" i="1"/>
  <c r="H66" i="1"/>
  <c r="J15" i="3" s="1"/>
  <c r="BC47" i="1"/>
  <c r="BC313" i="1"/>
  <c r="AV313" i="1"/>
  <c r="BC92" i="1"/>
  <c r="BC601" i="1"/>
  <c r="C18" i="6"/>
  <c r="BC568" i="1"/>
  <c r="I609" i="1"/>
  <c r="F41" i="4" s="1"/>
  <c r="AV143" i="1"/>
  <c r="BC340" i="1"/>
  <c r="AV340" i="1"/>
  <c r="AV434" i="1"/>
  <c r="C17" i="6"/>
  <c r="I23" i="1"/>
  <c r="BC542" i="1"/>
  <c r="C16" i="6"/>
  <c r="BC109" i="1"/>
  <c r="AV109" i="1"/>
  <c r="AV106" i="1"/>
  <c r="AV751" i="1"/>
  <c r="H609" i="1"/>
  <c r="E41" i="4" s="1"/>
  <c r="I409" i="1"/>
  <c r="H23" i="1"/>
  <c r="C15" i="6"/>
  <c r="AV278" i="1"/>
  <c r="BC278" i="1"/>
  <c r="AV444" i="1"/>
  <c r="AV306" i="1"/>
  <c r="E45" i="4"/>
  <c r="J39" i="3"/>
  <c r="J42" i="3"/>
  <c r="F37" i="4"/>
  <c r="K31" i="3"/>
  <c r="F30" i="4"/>
  <c r="E21" i="4"/>
  <c r="J22" i="3"/>
  <c r="E17" i="4"/>
  <c r="J18" i="3"/>
  <c r="E13" i="4"/>
  <c r="J14" i="3"/>
  <c r="E12" i="4"/>
  <c r="J13" i="3"/>
  <c r="E42" i="4"/>
  <c r="J43" i="3"/>
  <c r="E34" i="4"/>
  <c r="J35" i="3"/>
  <c r="F33" i="4"/>
  <c r="K34" i="3"/>
  <c r="K30" i="3"/>
  <c r="E28" i="4"/>
  <c r="J29" i="3"/>
  <c r="F27" i="4"/>
  <c r="K28" i="3"/>
  <c r="F21" i="4"/>
  <c r="K13" i="3"/>
  <c r="F12" i="4"/>
  <c r="F11" i="4"/>
  <c r="K12" i="3"/>
  <c r="E46" i="4"/>
  <c r="J47" i="3"/>
  <c r="F34" i="4"/>
  <c r="K23" i="3"/>
  <c r="F22" i="4"/>
  <c r="K21" i="3"/>
  <c r="F20" i="4"/>
  <c r="E25" i="4"/>
  <c r="J26" i="3"/>
  <c r="E22" i="4"/>
  <c r="J23" i="3"/>
  <c r="F16" i="4"/>
  <c r="E14" i="4"/>
  <c r="AV851" i="1"/>
  <c r="BC851" i="1"/>
  <c r="AV838" i="1"/>
  <c r="BC838" i="1"/>
  <c r="BC828" i="1"/>
  <c r="AV828" i="1"/>
  <c r="AV842" i="1"/>
  <c r="BC842" i="1"/>
  <c r="AV812" i="1"/>
  <c r="BC812" i="1"/>
  <c r="AV792" i="1"/>
  <c r="BC792" i="1"/>
  <c r="AV785" i="1"/>
  <c r="BC785" i="1"/>
  <c r="AV807" i="1"/>
  <c r="BC807" i="1"/>
  <c r="BC749" i="1"/>
  <c r="AV749" i="1"/>
  <c r="BC738" i="1"/>
  <c r="AV738" i="1"/>
  <c r="AV775" i="1"/>
  <c r="BC775" i="1"/>
  <c r="I746" i="1"/>
  <c r="AV760" i="1"/>
  <c r="BC760" i="1"/>
  <c r="AV737" i="1"/>
  <c r="BC737" i="1"/>
  <c r="BC725" i="1"/>
  <c r="AV715" i="1"/>
  <c r="BC715" i="1"/>
  <c r="BC686" i="1"/>
  <c r="AV686" i="1"/>
  <c r="BC678" i="1"/>
  <c r="AV678" i="1"/>
  <c r="BC670" i="1"/>
  <c r="AV670" i="1"/>
  <c r="BC662" i="1"/>
  <c r="AV662" i="1"/>
  <c r="BC654" i="1"/>
  <c r="AV654" i="1"/>
  <c r="AV675" i="1"/>
  <c r="BC675" i="1"/>
  <c r="AV659" i="1"/>
  <c r="BC659" i="1"/>
  <c r="E43" i="4"/>
  <c r="J44" i="3"/>
  <c r="AV700" i="1"/>
  <c r="BC700" i="1"/>
  <c r="BC587" i="1"/>
  <c r="AV587" i="1"/>
  <c r="BC579" i="1"/>
  <c r="AV579" i="1"/>
  <c r="AV561" i="1"/>
  <c r="BC561" i="1"/>
  <c r="BC550" i="1"/>
  <c r="AV550" i="1"/>
  <c r="AV727" i="1"/>
  <c r="BC727" i="1"/>
  <c r="AV633" i="1"/>
  <c r="BC633" i="1"/>
  <c r="BC620" i="1"/>
  <c r="AV620" i="1"/>
  <c r="E39" i="4"/>
  <c r="J40" i="3"/>
  <c r="AV580" i="1"/>
  <c r="BC580" i="1"/>
  <c r="G36" i="4"/>
  <c r="I36" i="4" s="1"/>
  <c r="L37" i="3"/>
  <c r="N37" i="3" s="1"/>
  <c r="BC539" i="1"/>
  <c r="AV539" i="1"/>
  <c r="BC694" i="1"/>
  <c r="AV694" i="1"/>
  <c r="AV671" i="1"/>
  <c r="BC671" i="1"/>
  <c r="AV655" i="1"/>
  <c r="BC655" i="1"/>
  <c r="AV632" i="1"/>
  <c r="BC632" i="1"/>
  <c r="E36" i="4"/>
  <c r="J37" i="3"/>
  <c r="BC503" i="1"/>
  <c r="AV503" i="1"/>
  <c r="BC495" i="1"/>
  <c r="AV495" i="1"/>
  <c r="BC487" i="1"/>
  <c r="AV487" i="1"/>
  <c r="AV644" i="1"/>
  <c r="BC644" i="1"/>
  <c r="AV628" i="1"/>
  <c r="BC628" i="1"/>
  <c r="AV612" i="1"/>
  <c r="BC612" i="1"/>
  <c r="K41" i="3"/>
  <c r="F40" i="4"/>
  <c r="AV594" i="1"/>
  <c r="BC594" i="1"/>
  <c r="AV555" i="1"/>
  <c r="BC555" i="1"/>
  <c r="E35" i="4"/>
  <c r="J36" i="3"/>
  <c r="BC776" i="1"/>
  <c r="BC759" i="1"/>
  <c r="AV676" i="1"/>
  <c r="BC676" i="1"/>
  <c r="AV660" i="1"/>
  <c r="BC660" i="1"/>
  <c r="AV637" i="1"/>
  <c r="BC637" i="1"/>
  <c r="J18" i="2"/>
  <c r="AV618" i="1"/>
  <c r="BC618" i="1"/>
  <c r="AV589" i="1"/>
  <c r="BC589" i="1"/>
  <c r="AV564" i="1"/>
  <c r="AV562" i="1"/>
  <c r="BC562" i="1"/>
  <c r="G39" i="4"/>
  <c r="I39" i="4" s="1"/>
  <c r="L40" i="3"/>
  <c r="N40" i="3" s="1"/>
  <c r="AV544" i="1"/>
  <c r="BC544" i="1"/>
  <c r="AV492" i="1"/>
  <c r="BC492" i="1"/>
  <c r="K18" i="2"/>
  <c r="AV552" i="1"/>
  <c r="BC552" i="1"/>
  <c r="BC460" i="1"/>
  <c r="AV460" i="1"/>
  <c r="AV421" i="1"/>
  <c r="BC421" i="1"/>
  <c r="AV413" i="1"/>
  <c r="BC413" i="1"/>
  <c r="AV402" i="1"/>
  <c r="BC402" i="1"/>
  <c r="AV394" i="1"/>
  <c r="BC394" i="1"/>
  <c r="AV386" i="1"/>
  <c r="BC386" i="1"/>
  <c r="AV378" i="1"/>
  <c r="BC378" i="1"/>
  <c r="AV370" i="1"/>
  <c r="BC370" i="1"/>
  <c r="AV362" i="1"/>
  <c r="BC362" i="1"/>
  <c r="AV354" i="1"/>
  <c r="BC354" i="1"/>
  <c r="AV346" i="1"/>
  <c r="BC346" i="1"/>
  <c r="AV484" i="1"/>
  <c r="BC484" i="1"/>
  <c r="BC415" i="1"/>
  <c r="G30" i="4"/>
  <c r="I30" i="4" s="1"/>
  <c r="L31" i="3"/>
  <c r="N31" i="3" s="1"/>
  <c r="BC404" i="1"/>
  <c r="AV388" i="1"/>
  <c r="AV359" i="1"/>
  <c r="BC359" i="1"/>
  <c r="AV338" i="1"/>
  <c r="BC338" i="1"/>
  <c r="BC330" i="1"/>
  <c r="AV330" i="1"/>
  <c r="BC314" i="1"/>
  <c r="AV314" i="1"/>
  <c r="AV414" i="1"/>
  <c r="BC414" i="1"/>
  <c r="AV387" i="1"/>
  <c r="BC387" i="1"/>
  <c r="BC368" i="1"/>
  <c r="AV352" i="1"/>
  <c r="AV326" i="1"/>
  <c r="BC326" i="1"/>
  <c r="AV149" i="1"/>
  <c r="BC149" i="1"/>
  <c r="G32" i="4"/>
  <c r="I32" i="4" s="1"/>
  <c r="L33" i="3"/>
  <c r="N33" i="3" s="1"/>
  <c r="AV423" i="1"/>
  <c r="BC396" i="1"/>
  <c r="BC380" i="1"/>
  <c r="BC364" i="1"/>
  <c r="BC348" i="1"/>
  <c r="AV327" i="1"/>
  <c r="BC327" i="1"/>
  <c r="BC301" i="1"/>
  <c r="AV301" i="1"/>
  <c r="BC177" i="1"/>
  <c r="AV177" i="1"/>
  <c r="L15" i="2" s="1"/>
  <c r="N15" i="2" s="1"/>
  <c r="K25" i="3"/>
  <c r="F24" i="4"/>
  <c r="BC152" i="1"/>
  <c r="AV152" i="1"/>
  <c r="BC148" i="1"/>
  <c r="AV148" i="1"/>
  <c r="BC144" i="1"/>
  <c r="AV144" i="1"/>
  <c r="BC419" i="1"/>
  <c r="AV395" i="1"/>
  <c r="BC395" i="1"/>
  <c r="BC376" i="1"/>
  <c r="AV360" i="1"/>
  <c r="AV114" i="1"/>
  <c r="BC114" i="1"/>
  <c r="AV288" i="1"/>
  <c r="BC288" i="1"/>
  <c r="AV254" i="1"/>
  <c r="AV238" i="1"/>
  <c r="AV222" i="1"/>
  <c r="AV206" i="1"/>
  <c r="BC190" i="1"/>
  <c r="AV131" i="1"/>
  <c r="BC131" i="1"/>
  <c r="BC101" i="1"/>
  <c r="AV101" i="1"/>
  <c r="J21" i="2"/>
  <c r="BC70" i="1"/>
  <c r="AV70" i="1"/>
  <c r="AV65" i="1"/>
  <c r="BC65" i="1"/>
  <c r="BC15" i="1"/>
  <c r="AV15" i="1"/>
  <c r="BC270" i="1"/>
  <c r="AV253" i="1"/>
  <c r="BC253" i="1"/>
  <c r="BC234" i="1"/>
  <c r="AV218" i="1"/>
  <c r="J16" i="2"/>
  <c r="AV189" i="1"/>
  <c r="BC189" i="1"/>
  <c r="I155" i="1"/>
  <c r="G22" i="4"/>
  <c r="I22" i="4" s="1"/>
  <c r="L23" i="3"/>
  <c r="N23" i="3" s="1"/>
  <c r="AV136" i="1"/>
  <c r="BC277" i="1"/>
  <c r="AV277" i="1"/>
  <c r="AV269" i="1"/>
  <c r="BC269" i="1"/>
  <c r="AV262" i="1"/>
  <c r="AV233" i="1"/>
  <c r="BC233" i="1"/>
  <c r="BC214" i="1"/>
  <c r="AV198" i="1"/>
  <c r="I180" i="1"/>
  <c r="BC176" i="1"/>
  <c r="BC166" i="1"/>
  <c r="BC158" i="1"/>
  <c r="AV147" i="1"/>
  <c r="AV139" i="1"/>
  <c r="BC139" i="1"/>
  <c r="BC132" i="1"/>
  <c r="AV119" i="1"/>
  <c r="BC119" i="1"/>
  <c r="G20" i="4"/>
  <c r="I20" i="4" s="1"/>
  <c r="L21" i="3"/>
  <c r="N21" i="3" s="1"/>
  <c r="G14" i="4"/>
  <c r="I14" i="4" s="1"/>
  <c r="L15" i="3"/>
  <c r="N15" i="3" s="1"/>
  <c r="I58" i="1"/>
  <c r="AV52" i="1"/>
  <c r="BC52" i="1"/>
  <c r="AV45" i="1"/>
  <c r="AV36" i="1"/>
  <c r="BC36" i="1"/>
  <c r="AV29" i="1"/>
  <c r="AV25" i="1"/>
  <c r="AV21" i="1"/>
  <c r="BC21" i="1"/>
  <c r="AV14" i="1"/>
  <c r="AV55" i="1"/>
  <c r="AV39" i="1"/>
  <c r="BC18" i="1"/>
  <c r="J875" i="1"/>
  <c r="AV116" i="1"/>
  <c r="AV64" i="1"/>
  <c r="AV51" i="1"/>
  <c r="AV35" i="1"/>
  <c r="AV821" i="1"/>
  <c r="BC821" i="1"/>
  <c r="H816" i="1"/>
  <c r="AV814" i="1"/>
  <c r="BC814" i="1"/>
  <c r="AV810" i="1"/>
  <c r="BC810" i="1"/>
  <c r="BC843" i="1"/>
  <c r="AV835" i="1"/>
  <c r="BC835" i="1"/>
  <c r="K47" i="3"/>
  <c r="F46" i="4"/>
  <c r="BC798" i="1"/>
  <c r="AV788" i="1"/>
  <c r="BC788" i="1"/>
  <c r="AV781" i="1"/>
  <c r="BC781" i="1"/>
  <c r="BC784" i="1"/>
  <c r="AV784" i="1"/>
  <c r="BC780" i="1"/>
  <c r="AV780" i="1"/>
  <c r="I766" i="1"/>
  <c r="AV752" i="1"/>
  <c r="BC752" i="1"/>
  <c r="AV741" i="1"/>
  <c r="BC741" i="1"/>
  <c r="AV730" i="1"/>
  <c r="BC730" i="1"/>
  <c r="AV718" i="1"/>
  <c r="BC718" i="1"/>
  <c r="AV767" i="1"/>
  <c r="BC767" i="1"/>
  <c r="BC713" i="1"/>
  <c r="BC709" i="1"/>
  <c r="BC744" i="1"/>
  <c r="G42" i="4"/>
  <c r="I42" i="4" s="1"/>
  <c r="L43" i="3"/>
  <c r="N43" i="3" s="1"/>
  <c r="BC681" i="1"/>
  <c r="BC665" i="1"/>
  <c r="BC649" i="1"/>
  <c r="BC736" i="1"/>
  <c r="AV731" i="1"/>
  <c r="BC731" i="1"/>
  <c r="BC576" i="1"/>
  <c r="AV576" i="1"/>
  <c r="G44" i="4"/>
  <c r="I44" i="4" s="1"/>
  <c r="L45" i="3"/>
  <c r="N45" i="3" s="1"/>
  <c r="AV687" i="1"/>
  <c r="BC687" i="1"/>
  <c r="AV703" i="1"/>
  <c r="BC703" i="1"/>
  <c r="AV591" i="1"/>
  <c r="BC591" i="1"/>
  <c r="J38" i="3"/>
  <c r="E37" i="4"/>
  <c r="BC553" i="1"/>
  <c r="K19" i="2"/>
  <c r="AV684" i="1"/>
  <c r="BC684" i="1"/>
  <c r="AV668" i="1"/>
  <c r="BC668" i="1"/>
  <c r="AV652" i="1"/>
  <c r="BC652" i="1"/>
  <c r="AV616" i="1"/>
  <c r="BC616" i="1"/>
  <c r="K37" i="3"/>
  <c r="F36" i="4"/>
  <c r="AV558" i="1"/>
  <c r="BC558" i="1"/>
  <c r="AV534" i="1"/>
  <c r="BC534" i="1"/>
  <c r="AV526" i="1"/>
  <c r="BC526" i="1"/>
  <c r="AV518" i="1"/>
  <c r="BC518" i="1"/>
  <c r="BC653" i="1"/>
  <c r="AV646" i="1"/>
  <c r="BC646" i="1"/>
  <c r="AV630" i="1"/>
  <c r="BC630" i="1"/>
  <c r="AV614" i="1"/>
  <c r="BC614" i="1"/>
  <c r="I546" i="1"/>
  <c r="J19" i="2"/>
  <c r="AV547" i="1"/>
  <c r="BC547" i="1"/>
  <c r="AV794" i="1"/>
  <c r="AV677" i="1"/>
  <c r="AV592" i="1"/>
  <c r="BC592" i="1"/>
  <c r="AV574" i="1"/>
  <c r="BC574" i="1"/>
  <c r="AV496" i="1"/>
  <c r="BC496" i="1"/>
  <c r="BC490" i="1"/>
  <c r="E31" i="4"/>
  <c r="J32" i="3"/>
  <c r="G34" i="4"/>
  <c r="I34" i="4" s="1"/>
  <c r="L35" i="3"/>
  <c r="N35" i="3" s="1"/>
  <c r="BC502" i="1"/>
  <c r="BC481" i="1"/>
  <c r="AV481" i="1"/>
  <c r="AV476" i="1"/>
  <c r="AV467" i="1"/>
  <c r="BC467" i="1"/>
  <c r="I475" i="1"/>
  <c r="BC510" i="1"/>
  <c r="BC468" i="1"/>
  <c r="AV468" i="1"/>
  <c r="BC345" i="1"/>
  <c r="AV345" i="1"/>
  <c r="BC428" i="1"/>
  <c r="AV428" i="1"/>
  <c r="BC424" i="1"/>
  <c r="AV424" i="1"/>
  <c r="BC420" i="1"/>
  <c r="AV420" i="1"/>
  <c r="BC416" i="1"/>
  <c r="AV416" i="1"/>
  <c r="BC412" i="1"/>
  <c r="AV412" i="1"/>
  <c r="AV375" i="1"/>
  <c r="BC375" i="1"/>
  <c r="BC356" i="1"/>
  <c r="AV466" i="1"/>
  <c r="BC466" i="1"/>
  <c r="AV403" i="1"/>
  <c r="BC403" i="1"/>
  <c r="BC384" i="1"/>
  <c r="AV310" i="1"/>
  <c r="BC310" i="1"/>
  <c r="AV264" i="1"/>
  <c r="BC264" i="1"/>
  <c r="AV256" i="1"/>
  <c r="BC256" i="1"/>
  <c r="AV248" i="1"/>
  <c r="BC248" i="1"/>
  <c r="AV240" i="1"/>
  <c r="BC240" i="1"/>
  <c r="AV232" i="1"/>
  <c r="BC232" i="1"/>
  <c r="AV224" i="1"/>
  <c r="BC224" i="1"/>
  <c r="AV216" i="1"/>
  <c r="BC216" i="1"/>
  <c r="AV208" i="1"/>
  <c r="BC208" i="1"/>
  <c r="AV200" i="1"/>
  <c r="BC200" i="1"/>
  <c r="AV192" i="1"/>
  <c r="BC192" i="1"/>
  <c r="AV181" i="1"/>
  <c r="BC181" i="1"/>
  <c r="AV172" i="1"/>
  <c r="BC172" i="1"/>
  <c r="AV164" i="1"/>
  <c r="BC164" i="1"/>
  <c r="AV156" i="1"/>
  <c r="BC156" i="1"/>
  <c r="AV138" i="1"/>
  <c r="BC138" i="1"/>
  <c r="AV130" i="1"/>
  <c r="BC130" i="1"/>
  <c r="AV122" i="1"/>
  <c r="BC122" i="1"/>
  <c r="H409" i="1"/>
  <c r="AV332" i="1"/>
  <c r="BC332" i="1"/>
  <c r="AV311" i="1"/>
  <c r="BC311" i="1"/>
  <c r="BC285" i="1"/>
  <c r="AV285" i="1"/>
  <c r="BC271" i="1"/>
  <c r="AV271" i="1"/>
  <c r="BC267" i="1"/>
  <c r="AV267" i="1"/>
  <c r="BC263" i="1"/>
  <c r="AV263" i="1"/>
  <c r="BC259" i="1"/>
  <c r="AV259" i="1"/>
  <c r="BC255" i="1"/>
  <c r="AV255" i="1"/>
  <c r="BC251" i="1"/>
  <c r="AV251" i="1"/>
  <c r="BC247" i="1"/>
  <c r="AV247" i="1"/>
  <c r="BC243" i="1"/>
  <c r="AV243" i="1"/>
  <c r="BC239" i="1"/>
  <c r="AV239" i="1"/>
  <c r="BC235" i="1"/>
  <c r="AV235" i="1"/>
  <c r="BC231" i="1"/>
  <c r="AV231" i="1"/>
  <c r="BC227" i="1"/>
  <c r="AV227" i="1"/>
  <c r="BC223" i="1"/>
  <c r="AV223" i="1"/>
  <c r="BC219" i="1"/>
  <c r="AV219" i="1"/>
  <c r="BC215" i="1"/>
  <c r="AV215" i="1"/>
  <c r="BC211" i="1"/>
  <c r="AV211" i="1"/>
  <c r="BC207" i="1"/>
  <c r="AV207" i="1"/>
  <c r="BC203" i="1"/>
  <c r="AV203" i="1"/>
  <c r="BC199" i="1"/>
  <c r="AV199" i="1"/>
  <c r="BC195" i="1"/>
  <c r="AV195" i="1"/>
  <c r="BC191" i="1"/>
  <c r="AV191" i="1"/>
  <c r="H180" i="1"/>
  <c r="H155" i="1"/>
  <c r="BC117" i="1"/>
  <c r="AV117" i="1"/>
  <c r="BC392" i="1"/>
  <c r="AV347" i="1"/>
  <c r="BC347" i="1"/>
  <c r="AV342" i="1"/>
  <c r="BC342" i="1"/>
  <c r="BC334" i="1"/>
  <c r="AV334" i="1"/>
  <c r="AV323" i="1"/>
  <c r="BC323" i="1"/>
  <c r="AV299" i="1"/>
  <c r="BC299" i="1"/>
  <c r="AV283" i="1"/>
  <c r="BC283" i="1"/>
  <c r="AV261" i="1"/>
  <c r="BC261" i="1"/>
  <c r="AV245" i="1"/>
  <c r="BC245" i="1"/>
  <c r="AV229" i="1"/>
  <c r="BC229" i="1"/>
  <c r="AV213" i="1"/>
  <c r="BC213" i="1"/>
  <c r="AV197" i="1"/>
  <c r="BC197" i="1"/>
  <c r="K16" i="2"/>
  <c r="AV77" i="1"/>
  <c r="BC77" i="1"/>
  <c r="AV186" i="1"/>
  <c r="BC186" i="1"/>
  <c r="G25" i="4"/>
  <c r="I25" i="4" s="1"/>
  <c r="L26" i="3"/>
  <c r="N26" i="3" s="1"/>
  <c r="AV169" i="1"/>
  <c r="BC169" i="1"/>
  <c r="AV161" i="1"/>
  <c r="BC161" i="1"/>
  <c r="AV146" i="1"/>
  <c r="BC146" i="1"/>
  <c r="BC140" i="1"/>
  <c r="BC124" i="1"/>
  <c r="F19" i="4"/>
  <c r="K20" i="3"/>
  <c r="G18" i="4"/>
  <c r="I18" i="4" s="1"/>
  <c r="L19" i="3"/>
  <c r="N19" i="3" s="1"/>
  <c r="AV54" i="1"/>
  <c r="BC54" i="1"/>
  <c r="AV46" i="1"/>
  <c r="BC46" i="1"/>
  <c r="AV38" i="1"/>
  <c r="BC38" i="1"/>
  <c r="AV30" i="1"/>
  <c r="BC30" i="1"/>
  <c r="C14" i="6"/>
  <c r="BC250" i="1"/>
  <c r="AV205" i="1"/>
  <c r="BC205" i="1"/>
  <c r="AV182" i="1"/>
  <c r="BC182" i="1"/>
  <c r="E18" i="4"/>
  <c r="J19" i="3"/>
  <c r="K13" i="2"/>
  <c r="BC293" i="1"/>
  <c r="AV293" i="1"/>
  <c r="AV249" i="1"/>
  <c r="BC249" i="1"/>
  <c r="BC230" i="1"/>
  <c r="BC187" i="1"/>
  <c r="F17" i="4"/>
  <c r="K18" i="3"/>
  <c r="G16" i="4"/>
  <c r="I16" i="4" s="1"/>
  <c r="L17" i="3"/>
  <c r="N17" i="3" s="1"/>
  <c r="BC78" i="1"/>
  <c r="AV78" i="1"/>
  <c r="K15" i="3"/>
  <c r="F14" i="4"/>
  <c r="AV57" i="1"/>
  <c r="AV48" i="1"/>
  <c r="BC48" i="1"/>
  <c r="AV41" i="1"/>
  <c r="AV32" i="1"/>
  <c r="BC32" i="1"/>
  <c r="AV24" i="1"/>
  <c r="BC24" i="1"/>
  <c r="J12" i="2"/>
  <c r="AV13" i="1"/>
  <c r="BC13" i="1"/>
  <c r="BC49" i="1"/>
  <c r="BC33" i="1"/>
  <c r="BC14" i="1"/>
  <c r="AV825" i="1"/>
  <c r="BC825" i="1"/>
  <c r="AV817" i="1"/>
  <c r="BC817" i="1"/>
  <c r="H829" i="1"/>
  <c r="G47" i="4"/>
  <c r="I47" i="4" s="1"/>
  <c r="L48" i="3"/>
  <c r="N48" i="3" s="1"/>
  <c r="AV800" i="1"/>
  <c r="BC800" i="1"/>
  <c r="AV777" i="1"/>
  <c r="BC777" i="1"/>
  <c r="AV808" i="1"/>
  <c r="BC808" i="1"/>
  <c r="BC804" i="1"/>
  <c r="AV804" i="1"/>
  <c r="BC799" i="1"/>
  <c r="AV799" i="1"/>
  <c r="BC795" i="1"/>
  <c r="AV795" i="1"/>
  <c r="BC791" i="1"/>
  <c r="AV791" i="1"/>
  <c r="BC787" i="1"/>
  <c r="AV787" i="1"/>
  <c r="AV771" i="1"/>
  <c r="BC771" i="1"/>
  <c r="H766" i="1"/>
  <c r="AV745" i="1"/>
  <c r="BC745" i="1"/>
  <c r="BC747" i="1"/>
  <c r="AV740" i="1"/>
  <c r="BC733" i="1"/>
  <c r="AV719" i="1"/>
  <c r="BC719" i="1"/>
  <c r="AV714" i="1"/>
  <c r="BC714" i="1"/>
  <c r="BC682" i="1"/>
  <c r="AV682" i="1"/>
  <c r="BC674" i="1"/>
  <c r="AV674" i="1"/>
  <c r="BC666" i="1"/>
  <c r="AV666" i="1"/>
  <c r="BC658" i="1"/>
  <c r="AV658" i="1"/>
  <c r="BC650" i="1"/>
  <c r="AV650" i="1"/>
  <c r="AV735" i="1"/>
  <c r="BC735" i="1"/>
  <c r="AV683" i="1"/>
  <c r="BC683" i="1"/>
  <c r="AV667" i="1"/>
  <c r="BC667" i="1"/>
  <c r="AV651" i="1"/>
  <c r="BC651" i="1"/>
  <c r="G43" i="4"/>
  <c r="I43" i="4" s="1"/>
  <c r="L44" i="3"/>
  <c r="N44" i="3" s="1"/>
  <c r="AV748" i="1"/>
  <c r="BC748" i="1"/>
  <c r="AV710" i="1"/>
  <c r="BC710" i="1"/>
  <c r="AV695" i="1"/>
  <c r="BC695" i="1"/>
  <c r="BC583" i="1"/>
  <c r="AV583" i="1"/>
  <c r="BC565" i="1"/>
  <c r="AV565" i="1"/>
  <c r="BC554" i="1"/>
  <c r="AV554" i="1"/>
  <c r="AV543" i="1"/>
  <c r="BC543" i="1"/>
  <c r="BC702" i="1"/>
  <c r="AV702" i="1"/>
  <c r="BC661" i="1"/>
  <c r="BC636" i="1"/>
  <c r="AV636" i="1"/>
  <c r="AV617" i="1"/>
  <c r="BC617" i="1"/>
  <c r="BC582" i="1"/>
  <c r="AV573" i="1"/>
  <c r="BC573" i="1"/>
  <c r="AV563" i="1"/>
  <c r="BC563" i="1"/>
  <c r="AV629" i="1"/>
  <c r="BC629" i="1"/>
  <c r="AV540" i="1"/>
  <c r="BC540" i="1"/>
  <c r="AV507" i="1"/>
  <c r="BC507" i="1"/>
  <c r="BC499" i="1"/>
  <c r="AV499" i="1"/>
  <c r="BC491" i="1"/>
  <c r="AV491" i="1"/>
  <c r="BC669" i="1"/>
  <c r="AV641" i="1"/>
  <c r="BC641" i="1"/>
  <c r="AV625" i="1"/>
  <c r="BC625" i="1"/>
  <c r="E40" i="4"/>
  <c r="J41" i="3"/>
  <c r="AV599" i="1"/>
  <c r="BC599" i="1"/>
  <c r="AV584" i="1"/>
  <c r="BC584" i="1"/>
  <c r="BC571" i="1"/>
  <c r="AV764" i="1"/>
  <c r="BC764" i="1"/>
  <c r="AV711" i="1"/>
  <c r="BC711" i="1"/>
  <c r="AV647" i="1"/>
  <c r="BC647" i="1"/>
  <c r="BC640" i="1"/>
  <c r="AV640" i="1"/>
  <c r="AV634" i="1"/>
  <c r="BC634" i="1"/>
  <c r="BC537" i="1"/>
  <c r="AV535" i="1"/>
  <c r="BC535" i="1"/>
  <c r="BC533" i="1"/>
  <c r="AV531" i="1"/>
  <c r="BC531" i="1"/>
  <c r="BC529" i="1"/>
  <c r="AV527" i="1"/>
  <c r="BC527" i="1"/>
  <c r="BC525" i="1"/>
  <c r="AV523" i="1"/>
  <c r="BC523" i="1"/>
  <c r="BC521" i="1"/>
  <c r="AV519" i="1"/>
  <c r="BC519" i="1"/>
  <c r="BC517" i="1"/>
  <c r="AV515" i="1"/>
  <c r="BC515" i="1"/>
  <c r="BC513" i="1"/>
  <c r="AV581" i="1"/>
  <c r="BC581" i="1"/>
  <c r="BC494" i="1"/>
  <c r="H480" i="1"/>
  <c r="I590" i="1"/>
  <c r="BC458" i="1"/>
  <c r="AV458" i="1"/>
  <c r="BC425" i="1"/>
  <c r="AV425" i="1"/>
  <c r="AV417" i="1"/>
  <c r="BC417" i="1"/>
  <c r="AV406" i="1"/>
  <c r="BC406" i="1"/>
  <c r="AV398" i="1"/>
  <c r="BC398" i="1"/>
  <c r="AV390" i="1"/>
  <c r="BC390" i="1"/>
  <c r="AV382" i="1"/>
  <c r="BC382" i="1"/>
  <c r="AV374" i="1"/>
  <c r="BC374" i="1"/>
  <c r="AV366" i="1"/>
  <c r="BC366" i="1"/>
  <c r="AV358" i="1"/>
  <c r="BC358" i="1"/>
  <c r="AV350" i="1"/>
  <c r="BC350" i="1"/>
  <c r="AV497" i="1"/>
  <c r="BC497" i="1"/>
  <c r="BC405" i="1"/>
  <c r="AV405" i="1"/>
  <c r="BC401" i="1"/>
  <c r="AV401" i="1"/>
  <c r="BC397" i="1"/>
  <c r="AV397" i="1"/>
  <c r="BC393" i="1"/>
  <c r="AV393" i="1"/>
  <c r="BC389" i="1"/>
  <c r="AV389" i="1"/>
  <c r="BC385" i="1"/>
  <c r="AV385" i="1"/>
  <c r="BC381" i="1"/>
  <c r="AV381" i="1"/>
  <c r="BC377" i="1"/>
  <c r="AV377" i="1"/>
  <c r="BC373" i="1"/>
  <c r="AV373" i="1"/>
  <c r="BC369" i="1"/>
  <c r="AV369" i="1"/>
  <c r="BC365" i="1"/>
  <c r="AV365" i="1"/>
  <c r="BC361" i="1"/>
  <c r="AV361" i="1"/>
  <c r="BC357" i="1"/>
  <c r="AV357" i="1"/>
  <c r="BC353" i="1"/>
  <c r="AV353" i="1"/>
  <c r="BC349" i="1"/>
  <c r="AV349" i="1"/>
  <c r="AV426" i="1"/>
  <c r="BC426" i="1"/>
  <c r="AV391" i="1"/>
  <c r="BC391" i="1"/>
  <c r="BC372" i="1"/>
  <c r="AV335" i="1"/>
  <c r="BC335" i="1"/>
  <c r="AV319" i="1"/>
  <c r="BC319" i="1"/>
  <c r="BC309" i="1"/>
  <c r="AV309" i="1"/>
  <c r="BC411" i="1"/>
  <c r="BC400" i="1"/>
  <c r="AV355" i="1"/>
  <c r="BC355" i="1"/>
  <c r="AV336" i="1"/>
  <c r="BC336" i="1"/>
  <c r="AV331" i="1"/>
  <c r="BC331" i="1"/>
  <c r="AV304" i="1"/>
  <c r="BC304" i="1"/>
  <c r="AV178" i="1"/>
  <c r="BC178" i="1"/>
  <c r="AV153" i="1"/>
  <c r="BC153" i="1"/>
  <c r="AV145" i="1"/>
  <c r="BC145" i="1"/>
  <c r="AV465" i="1"/>
  <c r="J17" i="2"/>
  <c r="AV410" i="1"/>
  <c r="BC410" i="1"/>
  <c r="AV322" i="1"/>
  <c r="BC322" i="1"/>
  <c r="AV316" i="1"/>
  <c r="BC316" i="1"/>
  <c r="AV300" i="1"/>
  <c r="BC300" i="1"/>
  <c r="BC184" i="1"/>
  <c r="AV184" i="1"/>
  <c r="G26" i="4"/>
  <c r="I26" i="4" s="1"/>
  <c r="L27" i="3"/>
  <c r="N27" i="3" s="1"/>
  <c r="K15" i="2"/>
  <c r="BC171" i="1"/>
  <c r="AV171" i="1"/>
  <c r="BC167" i="1"/>
  <c r="AV167" i="1"/>
  <c r="BC163" i="1"/>
  <c r="AV163" i="1"/>
  <c r="BC159" i="1"/>
  <c r="AV159" i="1"/>
  <c r="G23" i="4"/>
  <c r="I23" i="4" s="1"/>
  <c r="L24" i="3"/>
  <c r="N24" i="3" s="1"/>
  <c r="BC408" i="1"/>
  <c r="AV363" i="1"/>
  <c r="BC363" i="1"/>
  <c r="G29" i="4"/>
  <c r="I29" i="4" s="1"/>
  <c r="L30" i="3"/>
  <c r="N30" i="3" s="1"/>
  <c r="BC291" i="1"/>
  <c r="BC275" i="1"/>
  <c r="BC258" i="1"/>
  <c r="BC242" i="1"/>
  <c r="BC226" i="1"/>
  <c r="BC210" i="1"/>
  <c r="BC194" i="1"/>
  <c r="G27" i="4"/>
  <c r="I27" i="4" s="1"/>
  <c r="L28" i="3"/>
  <c r="N28" i="3" s="1"/>
  <c r="AV135" i="1"/>
  <c r="BC135" i="1"/>
  <c r="BC128" i="1"/>
  <c r="BC120" i="1"/>
  <c r="AV257" i="1"/>
  <c r="BC257" i="1"/>
  <c r="AV241" i="1"/>
  <c r="BC241" i="1"/>
  <c r="AV225" i="1"/>
  <c r="BC225" i="1"/>
  <c r="AV209" i="1"/>
  <c r="BC209" i="1"/>
  <c r="AV193" i="1"/>
  <c r="BC193" i="1"/>
  <c r="BC183" i="1"/>
  <c r="G19" i="4"/>
  <c r="I19" i="4" s="1"/>
  <c r="L20" i="3"/>
  <c r="N20" i="3" s="1"/>
  <c r="BC81" i="1"/>
  <c r="AV81" i="1"/>
  <c r="AV61" i="1"/>
  <c r="BC61" i="1"/>
  <c r="AV19" i="1"/>
  <c r="BC19" i="1"/>
  <c r="BC266" i="1"/>
  <c r="AV221" i="1"/>
  <c r="BC221" i="1"/>
  <c r="BC202" i="1"/>
  <c r="BC151" i="1"/>
  <c r="AV127" i="1"/>
  <c r="BC127" i="1"/>
  <c r="E19" i="4"/>
  <c r="J20" i="3"/>
  <c r="AV265" i="1"/>
  <c r="BC265" i="1"/>
  <c r="BC246" i="1"/>
  <c r="AV201" i="1"/>
  <c r="BC201" i="1"/>
  <c r="J15" i="2"/>
  <c r="BC170" i="1"/>
  <c r="BC162" i="1"/>
  <c r="BC112" i="1"/>
  <c r="AV112" i="1"/>
  <c r="BC104" i="1"/>
  <c r="AV104" i="1"/>
  <c r="AV63" i="1"/>
  <c r="BC63" i="1"/>
  <c r="J13" i="2"/>
  <c r="AV59" i="1"/>
  <c r="BC59" i="1"/>
  <c r="AV53" i="1"/>
  <c r="AV44" i="1"/>
  <c r="BC44" i="1"/>
  <c r="AV37" i="1"/>
  <c r="AV28" i="1"/>
  <c r="BC28" i="1"/>
  <c r="C29" i="6"/>
  <c r="F29" i="6" s="1"/>
  <c r="AU12" i="1"/>
  <c r="AV60" i="1"/>
  <c r="AV47" i="1"/>
  <c r="AV31" i="1"/>
  <c r="AV20" i="1"/>
  <c r="AV43" i="1"/>
  <c r="AV27" i="1"/>
  <c r="K53" i="3"/>
  <c r="F53" i="4"/>
  <c r="AV874" i="1"/>
  <c r="BC874" i="1"/>
  <c r="BC870" i="1"/>
  <c r="I868" i="1"/>
  <c r="K51" i="3"/>
  <c r="F51" i="4"/>
  <c r="BC848" i="1"/>
  <c r="AV848" i="1"/>
  <c r="AV872" i="1"/>
  <c r="L22" i="2" s="1"/>
  <c r="N22" i="2" s="1"/>
  <c r="BC872" i="1"/>
  <c r="I863" i="1"/>
  <c r="AV847" i="1"/>
  <c r="BC847" i="1"/>
  <c r="BC852" i="1"/>
  <c r="AV852" i="1"/>
  <c r="I829" i="1"/>
  <c r="AV837" i="1"/>
  <c r="BC837" i="1"/>
  <c r="G48" i="4"/>
  <c r="I48" i="4" s="1"/>
  <c r="L49" i="3"/>
  <c r="N49" i="3" s="1"/>
  <c r="BC824" i="1"/>
  <c r="AV824" i="1"/>
  <c r="BC820" i="1"/>
  <c r="AV820" i="1"/>
  <c r="F47" i="4"/>
  <c r="K48" i="3"/>
  <c r="BC832" i="1"/>
  <c r="AV832" i="1"/>
  <c r="AV827" i="1"/>
  <c r="BC827" i="1"/>
  <c r="AV796" i="1"/>
  <c r="BC796" i="1"/>
  <c r="BC790" i="1"/>
  <c r="I786" i="1"/>
  <c r="AV734" i="1"/>
  <c r="BC734" i="1"/>
  <c r="AV726" i="1"/>
  <c r="BC726" i="1"/>
  <c r="BC673" i="1"/>
  <c r="BC657" i="1"/>
  <c r="BC572" i="1"/>
  <c r="AV572" i="1"/>
  <c r="L20" i="2" s="1"/>
  <c r="N20" i="2" s="1"/>
  <c r="AV756" i="1"/>
  <c r="BC756" i="1"/>
  <c r="AV722" i="1"/>
  <c r="BC722" i="1"/>
  <c r="AV691" i="1"/>
  <c r="BC691" i="1"/>
  <c r="G41" i="4"/>
  <c r="I41" i="4" s="1"/>
  <c r="L42" i="3"/>
  <c r="N42" i="3" s="1"/>
  <c r="AV588" i="1"/>
  <c r="BC588" i="1"/>
  <c r="G37" i="4"/>
  <c r="I37" i="4" s="1"/>
  <c r="L38" i="3"/>
  <c r="N38" i="3" s="1"/>
  <c r="AV551" i="1"/>
  <c r="BC551" i="1"/>
  <c r="AV645" i="1"/>
  <c r="BC645" i="1"/>
  <c r="AV613" i="1"/>
  <c r="BC613" i="1"/>
  <c r="AV605" i="1"/>
  <c r="BC605" i="1"/>
  <c r="AV598" i="1"/>
  <c r="BC598" i="1"/>
  <c r="AV566" i="1"/>
  <c r="BC566" i="1"/>
  <c r="BC560" i="1"/>
  <c r="G35" i="4"/>
  <c r="I35" i="4" s="1"/>
  <c r="L36" i="3"/>
  <c r="N36" i="3" s="1"/>
  <c r="AV538" i="1"/>
  <c r="BC538" i="1"/>
  <c r="AV530" i="1"/>
  <c r="BC530" i="1"/>
  <c r="AV522" i="1"/>
  <c r="BC522" i="1"/>
  <c r="AV514" i="1"/>
  <c r="BC514" i="1"/>
  <c r="BC690" i="1"/>
  <c r="AV690" i="1"/>
  <c r="AV606" i="1"/>
  <c r="BC606" i="1"/>
  <c r="I578" i="1"/>
  <c r="AV577" i="1"/>
  <c r="BC577" i="1"/>
  <c r="K20" i="2"/>
  <c r="BC549" i="1"/>
  <c r="AV723" i="1"/>
  <c r="BC723" i="1"/>
  <c r="AV679" i="1"/>
  <c r="BC679" i="1"/>
  <c r="AV663" i="1"/>
  <c r="BC663" i="1"/>
  <c r="G38" i="4"/>
  <c r="I38" i="4" s="1"/>
  <c r="L39" i="3"/>
  <c r="N39" i="3" s="1"/>
  <c r="AV508" i="1"/>
  <c r="BC508" i="1"/>
  <c r="BC506" i="1"/>
  <c r="AV504" i="1"/>
  <c r="BC504" i="1"/>
  <c r="BC498" i="1"/>
  <c r="AV488" i="1"/>
  <c r="BC488" i="1"/>
  <c r="BC624" i="1"/>
  <c r="AV624" i="1"/>
  <c r="AV595" i="1"/>
  <c r="BC595" i="1"/>
  <c r="AV500" i="1"/>
  <c r="BC500" i="1"/>
  <c r="BC486" i="1"/>
  <c r="G33" i="4"/>
  <c r="I33" i="4" s="1"/>
  <c r="L34" i="3"/>
  <c r="N34" i="3" s="1"/>
  <c r="AV621" i="1"/>
  <c r="BC621" i="1"/>
  <c r="AV474" i="1"/>
  <c r="L18" i="2" s="1"/>
  <c r="N18" i="2" s="1"/>
  <c r="BC474" i="1"/>
  <c r="AV489" i="1"/>
  <c r="BC489" i="1"/>
  <c r="AV427" i="1"/>
  <c r="BC427" i="1"/>
  <c r="AV418" i="1"/>
  <c r="BC418" i="1"/>
  <c r="K17" i="2"/>
  <c r="AV407" i="1"/>
  <c r="BC407" i="1"/>
  <c r="H337" i="1"/>
  <c r="AV371" i="1"/>
  <c r="BC371" i="1"/>
  <c r="AV339" i="1"/>
  <c r="BC339" i="1"/>
  <c r="AV320" i="1"/>
  <c r="BC320" i="1"/>
  <c r="AV315" i="1"/>
  <c r="BC315" i="1"/>
  <c r="AV260" i="1"/>
  <c r="BC260" i="1"/>
  <c r="AV252" i="1"/>
  <c r="BC252" i="1"/>
  <c r="AV244" i="1"/>
  <c r="BC244" i="1"/>
  <c r="AV236" i="1"/>
  <c r="BC236" i="1"/>
  <c r="AV228" i="1"/>
  <c r="BC228" i="1"/>
  <c r="AV220" i="1"/>
  <c r="BC220" i="1"/>
  <c r="AV212" i="1"/>
  <c r="BC212" i="1"/>
  <c r="AV204" i="1"/>
  <c r="BC204" i="1"/>
  <c r="AV196" i="1"/>
  <c r="BC196" i="1"/>
  <c r="AV185" i="1"/>
  <c r="BC185" i="1"/>
  <c r="AV168" i="1"/>
  <c r="BC168" i="1"/>
  <c r="AV160" i="1"/>
  <c r="BC160" i="1"/>
  <c r="AV134" i="1"/>
  <c r="BC134" i="1"/>
  <c r="AV126" i="1"/>
  <c r="BC126" i="1"/>
  <c r="AV399" i="1"/>
  <c r="BC399" i="1"/>
  <c r="AV383" i="1"/>
  <c r="BC383" i="1"/>
  <c r="AV367" i="1"/>
  <c r="BC367" i="1"/>
  <c r="AV351" i="1"/>
  <c r="BC351" i="1"/>
  <c r="AV341" i="1"/>
  <c r="BC341" i="1"/>
  <c r="AV284" i="1"/>
  <c r="BC284" i="1"/>
  <c r="I273" i="1"/>
  <c r="BC174" i="1"/>
  <c r="AV174" i="1"/>
  <c r="BC141" i="1"/>
  <c r="AV141" i="1"/>
  <c r="BC137" i="1"/>
  <c r="AV137" i="1"/>
  <c r="BC133" i="1"/>
  <c r="AV133" i="1"/>
  <c r="BC129" i="1"/>
  <c r="AV129" i="1"/>
  <c r="BC125" i="1"/>
  <c r="AV125" i="1"/>
  <c r="BC121" i="1"/>
  <c r="AV121" i="1"/>
  <c r="BC113" i="1"/>
  <c r="AV113" i="1"/>
  <c r="AV422" i="1"/>
  <c r="BC422" i="1"/>
  <c r="AV379" i="1"/>
  <c r="BC379" i="1"/>
  <c r="AV343" i="1"/>
  <c r="BC343" i="1"/>
  <c r="BC318" i="1"/>
  <c r="AV318" i="1"/>
  <c r="BC307" i="1"/>
  <c r="AV150" i="1"/>
  <c r="BC150" i="1"/>
  <c r="AV165" i="1"/>
  <c r="BC165" i="1"/>
  <c r="AV157" i="1"/>
  <c r="BC157" i="1"/>
  <c r="K14" i="2"/>
  <c r="AV50" i="1"/>
  <c r="BC50" i="1"/>
  <c r="AV42" i="1"/>
  <c r="BC42" i="1"/>
  <c r="AV34" i="1"/>
  <c r="BC34" i="1"/>
  <c r="AV26" i="1"/>
  <c r="BC26" i="1"/>
  <c r="AV237" i="1"/>
  <c r="BC237" i="1"/>
  <c r="H188" i="1"/>
  <c r="AV118" i="1"/>
  <c r="BC118" i="1"/>
  <c r="AV217" i="1"/>
  <c r="BC217" i="1"/>
  <c r="AV179" i="1"/>
  <c r="BC179" i="1"/>
  <c r="AV154" i="1"/>
  <c r="BC154" i="1"/>
  <c r="AV123" i="1"/>
  <c r="BC123" i="1"/>
  <c r="AV107" i="1"/>
  <c r="BC107" i="1"/>
  <c r="BC98" i="1"/>
  <c r="AV98" i="1"/>
  <c r="AV87" i="1"/>
  <c r="BC87" i="1"/>
  <c r="BC84" i="1"/>
  <c r="AV84" i="1"/>
  <c r="G15" i="4"/>
  <c r="I15" i="4" s="1"/>
  <c r="L16" i="3"/>
  <c r="N16" i="3" s="1"/>
  <c r="J14" i="2"/>
  <c r="AV56" i="1"/>
  <c r="BC56" i="1"/>
  <c r="AV40" i="1"/>
  <c r="BC40" i="1"/>
  <c r="AV22" i="1"/>
  <c r="AV17" i="1"/>
  <c r="BC17" i="1"/>
  <c r="BC86" i="1"/>
  <c r="C22" i="6" l="1"/>
  <c r="K43" i="3"/>
  <c r="L21" i="2"/>
  <c r="N21" i="2" s="1"/>
  <c r="G55" i="4"/>
  <c r="L14" i="2"/>
  <c r="N14" i="2" s="1"/>
  <c r="K26" i="3"/>
  <c r="K42" i="3"/>
  <c r="L55" i="3"/>
  <c r="I28" i="6"/>
  <c r="I29" i="6" s="1"/>
  <c r="J30" i="3"/>
  <c r="E29" i="4"/>
  <c r="J34" i="3"/>
  <c r="E33" i="4"/>
  <c r="E30" i="4"/>
  <c r="J31" i="3"/>
  <c r="K33" i="3"/>
  <c r="F32" i="4"/>
  <c r="F35" i="4"/>
  <c r="K36" i="3"/>
  <c r="E47" i="4"/>
  <c r="J48" i="3"/>
  <c r="F23" i="4"/>
  <c r="K24" i="3"/>
  <c r="F43" i="4"/>
  <c r="K44" i="3"/>
  <c r="K49" i="3"/>
  <c r="F48" i="4"/>
  <c r="F52" i="4"/>
  <c r="K52" i="3"/>
  <c r="L12" i="2"/>
  <c r="N12" i="2" s="1"/>
  <c r="K45" i="3"/>
  <c r="F44" i="4"/>
  <c r="F13" i="4"/>
  <c r="K14" i="3"/>
  <c r="K27" i="3"/>
  <c r="F26" i="4"/>
  <c r="K50" i="3"/>
  <c r="F50" i="4"/>
  <c r="I862" i="1"/>
  <c r="F49" i="4" s="1"/>
  <c r="L13" i="2"/>
  <c r="N13" i="2" s="1"/>
  <c r="E44" i="4"/>
  <c r="J45" i="3"/>
  <c r="E23" i="4"/>
  <c r="J24" i="3"/>
  <c r="L19" i="2"/>
  <c r="N19" i="2" s="1"/>
  <c r="L16" i="2"/>
  <c r="N16" i="2" s="1"/>
  <c r="K39" i="3"/>
  <c r="F38" i="4"/>
  <c r="F45" i="4"/>
  <c r="K46" i="3"/>
  <c r="L17" i="2"/>
  <c r="N17" i="2" s="1"/>
  <c r="F39" i="4"/>
  <c r="K40" i="3"/>
  <c r="E26" i="4"/>
  <c r="J27" i="3"/>
  <c r="K29" i="3"/>
  <c r="F28" i="4"/>
  <c r="E48" i="4"/>
  <c r="J49" i="3"/>
  <c r="E27" i="4"/>
  <c r="J28" i="3"/>
  <c r="L23" i="2" l="1"/>
</calcChain>
</file>

<file path=xl/sharedStrings.xml><?xml version="1.0" encoding="utf-8"?>
<sst xmlns="http://schemas.openxmlformats.org/spreadsheetml/2006/main" count="16723" uniqueCount="2918">
  <si>
    <t>Slepý stavební rozpočet</t>
  </si>
  <si>
    <t>Název stavby:</t>
  </si>
  <si>
    <t>Modernizace 4.NP Hlavního pavilonu nemocnice Semily</t>
  </si>
  <si>
    <t>Doba výstavby:</t>
  </si>
  <si>
    <t xml:space="preserve"> </t>
  </si>
  <si>
    <t>Objednatel:</t>
  </si>
  <si>
    <t> </t>
  </si>
  <si>
    <t>Druh stavby:</t>
  </si>
  <si>
    <t>Začátek výstavby:</t>
  </si>
  <si>
    <t>Projektant:</t>
  </si>
  <si>
    <t>Lokalita:</t>
  </si>
  <si>
    <t>p.p.č.519/1, k.ú.Semily (747246)  3.května č.p.421, 513 01 Semily, Česká republika</t>
  </si>
  <si>
    <t>Konec výstavby:</t>
  </si>
  <si>
    <t>Zhotovitel:</t>
  </si>
  <si>
    <t>JKSO:</t>
  </si>
  <si>
    <t>Zpracováno dne:</t>
  </si>
  <si>
    <t>Zpracoval: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</si>
  <si>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</si>
  <si>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</si>
  <si>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</si>
  <si>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</si>
  <si>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</si>
  <si>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</si>
  <si>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</si>
  <si>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</si>
  <si>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</si>
  <si>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</si>
  <si>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</si>
  <si>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</si>
  <si>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</si>
  <si>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</si>
  <si>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</si>
  <si>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</si>
  <si>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</si>
  <si>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</si>
  <si>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</si>
  <si>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</si>
  <si>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</si>
  <si>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</si>
  <si>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</si>
  <si>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</si>
  <si>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</si>
  <si>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</si>
  <si>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</si>
  <si>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</si>
  <si>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</si>
  <si>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</si>
  <si>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31</t>
  </si>
  <si>
    <t>Zdi podpěrné a volné</t>
  </si>
  <si>
    <t>1</t>
  </si>
  <si>
    <t>310237251RT3</t>
  </si>
  <si>
    <t>Zazdívka otvorů pl. 0,25 m2 cihlami, tl. zdi 45 (50) cm, s použitím suché maltové směsi, vč.podbetonování nosníků -dle pozn.o)</t>
  </si>
  <si>
    <t>kus</t>
  </si>
  <si>
    <t>RTS I / 2025</t>
  </si>
  <si>
    <t>31_</t>
  </si>
  <si>
    <t>3_</t>
  </si>
  <si>
    <t>_</t>
  </si>
  <si>
    <t>P</t>
  </si>
  <si>
    <t>2</t>
  </si>
  <si>
    <t>310238211RT1</t>
  </si>
  <si>
    <t>Zazdívka (přizdívka) otvorů plochy do 1 m2 cihlami na MVC, s použitím suché maltové směsi</t>
  </si>
  <si>
    <t>m3</t>
  </si>
  <si>
    <t>3</t>
  </si>
  <si>
    <t>310239211RT2</t>
  </si>
  <si>
    <t>Zazdívka otvorů plochy do 4 m2 cihlami na MVC, s použitím suché maltové směsi</t>
  </si>
  <si>
    <t>4</t>
  </si>
  <si>
    <t>317234410RT2</t>
  </si>
  <si>
    <t>Vyzdívka mezi nosníky cihlami pálenými na MC, s použitím suché maltové směsi</t>
  </si>
  <si>
    <t>5</t>
  </si>
  <si>
    <t>317941121R00</t>
  </si>
  <si>
    <t>Osazení ocelových válcovaných nosníků do č. 12 -dle pozn.9</t>
  </si>
  <si>
    <t>t</t>
  </si>
  <si>
    <t>6</t>
  </si>
  <si>
    <t>13383315.1</t>
  </si>
  <si>
    <t>Tyč ocelová IPE 100, S235JR, ozn.P104 -žárově pozinkována</t>
  </si>
  <si>
    <t>M</t>
  </si>
  <si>
    <t>7</t>
  </si>
  <si>
    <t>13383420.1</t>
  </si>
  <si>
    <t>Tyč ocelová IPE 120, S235JR, ozn.P001 -žárově pozinkována</t>
  </si>
  <si>
    <t>8</t>
  </si>
  <si>
    <t>317941123R00</t>
  </si>
  <si>
    <t>Osazení ocelových válcovaných nosníků  č. 14 - 22 -dle pozn.9</t>
  </si>
  <si>
    <t>9</t>
  </si>
  <si>
    <t>13383425.1</t>
  </si>
  <si>
    <t>Tyč ocelová IPE 140, S235JR, ozn.P102, P103, P105 -žárově pozinkována</t>
  </si>
  <si>
    <t>10</t>
  </si>
  <si>
    <t>13383430.1</t>
  </si>
  <si>
    <t>Tyč ocelová IPE 160, S235JR, ozn.P106 -žárově pozinkována</t>
  </si>
  <si>
    <t>34</t>
  </si>
  <si>
    <t>Stěny a příčky</t>
  </si>
  <si>
    <t>11</t>
  </si>
  <si>
    <t>342012221RT1</t>
  </si>
  <si>
    <t>Příčka SDK tl.100 mm,ocel.kce,1x oplášť.,RB 12,5mm, izolace tl.60 mm</t>
  </si>
  <si>
    <t>m2</t>
  </si>
  <si>
    <t>34_</t>
  </si>
  <si>
    <t>12</t>
  </si>
  <si>
    <t>342012321RT1</t>
  </si>
  <si>
    <t>Příčka SDK tl. 125mm,ocel.kce,1x oplášť.,RB 12,5mm, izolace tl.60 mm</t>
  </si>
  <si>
    <t>13</t>
  </si>
  <si>
    <t>342012421RT1</t>
  </si>
  <si>
    <t>Příčka SDK tl. 150mm,ocel.kce,1x oplášť.,RB 12,5mm, izolace tl.60 mm</t>
  </si>
  <si>
    <t>14</t>
  </si>
  <si>
    <t>342013121RT1</t>
  </si>
  <si>
    <t>Příčka SDK tl.100 mm,ocel.kce,2x oplášť.,RB 12,5mm, izolace tl.60 mm</t>
  </si>
  <si>
    <t>15</t>
  </si>
  <si>
    <t>342013221RT1</t>
  </si>
  <si>
    <t>Příčka SDK tl.125 mm,ocel.kce,2x oplášť.,RB 12,5mm, izolace tl.60 mm</t>
  </si>
  <si>
    <t>16</t>
  </si>
  <si>
    <t>342013321RT1</t>
  </si>
  <si>
    <t>Příčka SDK tl.150 mm,ocel.kce,2x oplášť.,RB 12,5mm, izolace tl.60 mm</t>
  </si>
  <si>
    <t>17</t>
  </si>
  <si>
    <t>342016222RT1</t>
  </si>
  <si>
    <t>Příčka SDK tl.205mm,2x ocel.kce,2x oplášť.,RF 12,5 izolace 2x60 mm</t>
  </si>
  <si>
    <t>18</t>
  </si>
  <si>
    <t>342018462RT1</t>
  </si>
  <si>
    <t>Příčka sádrokartonová s ochranou proti rentgenovému záření tl. 100 mm, desky DF, ozn.SO03f -dle popisu v PD</t>
  </si>
  <si>
    <t>19</t>
  </si>
  <si>
    <t>342018462RT2</t>
  </si>
  <si>
    <t>Příčka sádrokartonová s ochranou proti rentgenovému záření tl. 150 mm, desky DF, ozn.SO03g -dle popisu v PD</t>
  </si>
  <si>
    <t>20</t>
  </si>
  <si>
    <t>342091021R00</t>
  </si>
  <si>
    <t>Příplatek za otvor 4 m2 v SDK příčce 1x UA,1x opl.</t>
  </si>
  <si>
    <t>21</t>
  </si>
  <si>
    <t>342091022R00</t>
  </si>
  <si>
    <t>Příplatek za otvor 4 m2 v SDK příčce 1x UA,2x opl.</t>
  </si>
  <si>
    <t>22</t>
  </si>
  <si>
    <t>342091024R00</t>
  </si>
  <si>
    <t>Příplatek za otvor 4 m2 v SDK příčce 2x UA,2x opl.</t>
  </si>
  <si>
    <t>23</t>
  </si>
  <si>
    <t>342091062R00</t>
  </si>
  <si>
    <t>Příplatek za vytvoření protipož.kastlíku podél SDK příček -dle pozn.q)</t>
  </si>
  <si>
    <t>m</t>
  </si>
  <si>
    <t>24</t>
  </si>
  <si>
    <t>342091061R00</t>
  </si>
  <si>
    <t>Příplatek za vložení vrstvy tepelné izolace</t>
  </si>
  <si>
    <t>25</t>
  </si>
  <si>
    <t>342091091R00</t>
  </si>
  <si>
    <t>Příplatek k příčce sádrokart. za desku impreg.</t>
  </si>
  <si>
    <t>26</t>
  </si>
  <si>
    <t>342254815R00</t>
  </si>
  <si>
    <t>Obezdívka z desek pórobetonových tl. 150 mm -přívodní VZT kanál, dle pozn.n)</t>
  </si>
  <si>
    <t>27</t>
  </si>
  <si>
    <t>342263310RT1</t>
  </si>
  <si>
    <t>Úprava sádrokartonové příčky pro osazení umyvadla, dřezu, výlevky apod.</t>
  </si>
  <si>
    <t>28</t>
  </si>
  <si>
    <t>342263311RT1</t>
  </si>
  <si>
    <t>Úprava sádrokartonové příčky pro osazení WC</t>
  </si>
  <si>
    <t>29</t>
  </si>
  <si>
    <t>342263320RT1</t>
  </si>
  <si>
    <t>Úprava sádrokartonové příčky pro osazení držáku potrubí</t>
  </si>
  <si>
    <t>30</t>
  </si>
  <si>
    <t>342263321RT1</t>
  </si>
  <si>
    <t>Úprava sádrokartonové příčky pro osazení držáku baterie</t>
  </si>
  <si>
    <t>342263410R00</t>
  </si>
  <si>
    <t>Osazení revizních dvířek do SDK příček, do 0,25 m2</t>
  </si>
  <si>
    <t>32</t>
  </si>
  <si>
    <t>342263998RT1</t>
  </si>
  <si>
    <t>Příplatek k příčce sádrokart. za plochu do 5 m2, pro plochy do 2 m2</t>
  </si>
  <si>
    <t>33</t>
  </si>
  <si>
    <t>342263998RT2</t>
  </si>
  <si>
    <t>Příplatek k příčce sádrokart. za plochu do 5 m2, pro plochy 2 - 5 m2</t>
  </si>
  <si>
    <t>342266110RT1</t>
  </si>
  <si>
    <t>Rozkrytí a zpětná mtž SDK konstrukcí -dle pozn.a)</t>
  </si>
  <si>
    <t>35</t>
  </si>
  <si>
    <t>342266120RT1</t>
  </si>
  <si>
    <t>Zpětná mtž příčky z SDK vč.obkladu -dle pozn.f)</t>
  </si>
  <si>
    <t>36</t>
  </si>
  <si>
    <t>342266131RT1</t>
  </si>
  <si>
    <t>Předstěna sádrokartonová (obklad), s ochranou proti rentgenovému záření, desky DF</t>
  </si>
  <si>
    <t>37</t>
  </si>
  <si>
    <t>342267113RT2</t>
  </si>
  <si>
    <t>Obklad trámů (sloupů) sádrokartonem čtyřstranný do 0,5/0,5m, desky protipožární tl. 12,5 mm -dle pozn.c)</t>
  </si>
  <si>
    <t>38</t>
  </si>
  <si>
    <t>346244361RT2</t>
  </si>
  <si>
    <t>Zazdívka rýh, potrubí, kapes cihlami tl. 6,5 cm, s použitím suché maltové směsi</t>
  </si>
  <si>
    <t>39</t>
  </si>
  <si>
    <t>346244381RT2</t>
  </si>
  <si>
    <t>Plentování ocelových nosníků výšky do 20 cm, s použitím suché maltové směsi</t>
  </si>
  <si>
    <t>40</t>
  </si>
  <si>
    <t>347015121RU1</t>
  </si>
  <si>
    <t>Předstěna instal.SDK, tl.90mm, ocel. kce CW, 1x RB 12,5mm, izolace tl.60 mm</t>
  </si>
  <si>
    <t>41</t>
  </si>
  <si>
    <t>347015121RU2</t>
  </si>
  <si>
    <t>Předstěna instal.SDK, tl.90mm, ocel. kce CW, 1x RB 12,5mm, izolace tl.60 mm -dle pozn.k) a h)</t>
  </si>
  <si>
    <t>42</t>
  </si>
  <si>
    <t>347016141RU1</t>
  </si>
  <si>
    <t>Předstěna instal.SDK, tl.175 mm, oc.kce CW,1xRB 12,5mm, izolace tl.60 mm</t>
  </si>
  <si>
    <t>43</t>
  </si>
  <si>
    <t>347016151RU1</t>
  </si>
  <si>
    <t>Předstěna instal.SDK, tl.200 mm, oc.kce CW,1xRB 12,5mm, izolace tl.60 mm -dle pozn.h) a i)</t>
  </si>
  <si>
    <t>44</t>
  </si>
  <si>
    <t>347091082R00</t>
  </si>
  <si>
    <t>Příplatek k předstěně sádrokart. za plochu do 5 m2</t>
  </si>
  <si>
    <t>Stropy a stropní konstrukce (pro pozemní stavby)</t>
  </si>
  <si>
    <t>45</t>
  </si>
  <si>
    <t>411388531RT1</t>
  </si>
  <si>
    <t>Zabetonování otvorů o ploše do 1 m2 ve stropech, vč.nového podlah.souvrství -m.č.1.14</t>
  </si>
  <si>
    <t>41_</t>
  </si>
  <si>
    <t>4_</t>
  </si>
  <si>
    <t>46</t>
  </si>
  <si>
    <t>416021121R00</t>
  </si>
  <si>
    <t>Podhledy SDK, kovová.kce CD. 1x deska RB 12,5 mm</t>
  </si>
  <si>
    <t>47</t>
  </si>
  <si>
    <t>416021123R00</t>
  </si>
  <si>
    <t>Podhledy SDK, kovová.kce CD. 1x deska RBI 12,5 mm</t>
  </si>
  <si>
    <t>48</t>
  </si>
  <si>
    <t>416021126R00</t>
  </si>
  <si>
    <t>Podhledy SDK, kovová.kce CD. 1x deska RF 15 mm -skladba STR01, body 6, 7</t>
  </si>
  <si>
    <t>49</t>
  </si>
  <si>
    <t>416021128R00</t>
  </si>
  <si>
    <t>Podhledy SDK, kovová.kce CD. 1x deska RFI 15 mm -skladba STR01, body 6, 7</t>
  </si>
  <si>
    <t>50</t>
  </si>
  <si>
    <t>416091081R00</t>
  </si>
  <si>
    <t>Příplatek k podhledu sádrokart. za plochu do 2 m2</t>
  </si>
  <si>
    <t>51</t>
  </si>
  <si>
    <t>416091082R00</t>
  </si>
  <si>
    <t>Příplatek k podhledu sádrokart. za plochu do 5 m2</t>
  </si>
  <si>
    <t>61</t>
  </si>
  <si>
    <t>Úprava povrchů vnitřní</t>
  </si>
  <si>
    <t>52</t>
  </si>
  <si>
    <t>610411113R00</t>
  </si>
  <si>
    <t>Protiprašný penetrační a uzavírací nátěr -nad podhledy</t>
  </si>
  <si>
    <t>61_</t>
  </si>
  <si>
    <t>6_</t>
  </si>
  <si>
    <t>53</t>
  </si>
  <si>
    <t>610991002R00</t>
  </si>
  <si>
    <t>Začišťovací okenní lišta pro vnitř.omítku tl. 9 mm</t>
  </si>
  <si>
    <t>54</t>
  </si>
  <si>
    <t>610991111R00</t>
  </si>
  <si>
    <t>Zakrývání výplní vnitřních otvorů</t>
  </si>
  <si>
    <t>55</t>
  </si>
  <si>
    <t>612401291RT2</t>
  </si>
  <si>
    <t>Omítka malých ploch vnitřních stěn do 0,25 m2, vápennou štukovovou omítkou</t>
  </si>
  <si>
    <t>56</t>
  </si>
  <si>
    <t>612401391RT2</t>
  </si>
  <si>
    <t>Omítka malých ploch vnitřních stěn do 1 m2, vápennou štukovou omítkou</t>
  </si>
  <si>
    <t>57</t>
  </si>
  <si>
    <t>612421231RT2</t>
  </si>
  <si>
    <t>Oprava vápen.omítek stěn do 10 % pl. - štukových, s použitím suché maltové směsi -část skladba SO02, bod 4</t>
  </si>
  <si>
    <t>58</t>
  </si>
  <si>
    <t>612421231RT4</t>
  </si>
  <si>
    <t>Oprava vápen.omítek stěn do 10 % pl. - štukových, s použitím suché maltové směsi -ostění -část skladba SO02, bod 4</t>
  </si>
  <si>
    <t>59</t>
  </si>
  <si>
    <t>612425931RT2</t>
  </si>
  <si>
    <t>Omítka vápenná vnitřního ostění - štuková, s použitím suché maltové směsi</t>
  </si>
  <si>
    <t>60</t>
  </si>
  <si>
    <t>612472181R00</t>
  </si>
  <si>
    <t>Omítka stěn, jádro míchané, štuk ze suché směsi</t>
  </si>
  <si>
    <t>612474410R00</t>
  </si>
  <si>
    <t>Omítka stěn vnitřní tenkovrstvá vápenná - štuk</t>
  </si>
  <si>
    <t>62</t>
  </si>
  <si>
    <t>612903111R00</t>
  </si>
  <si>
    <t>Očištění zdí a valů před opravou, ručně -část skladba SO02, bod 4</t>
  </si>
  <si>
    <t>63</t>
  </si>
  <si>
    <t>615981163RT1</t>
  </si>
  <si>
    <t>Lokální oprava KZS-kotvení k věnci</t>
  </si>
  <si>
    <t>Úprava povrchů vnější</t>
  </si>
  <si>
    <t>64</t>
  </si>
  <si>
    <t>620991004R00</t>
  </si>
  <si>
    <t>Začišťovací okenní lišta pro vnějš.omítku tl. 15mm</t>
  </si>
  <si>
    <t>62_</t>
  </si>
  <si>
    <t>65</t>
  </si>
  <si>
    <t>620991011R00</t>
  </si>
  <si>
    <t>Přechodový profil parapet-ostění, s tkaninou</t>
  </si>
  <si>
    <t>66</t>
  </si>
  <si>
    <t>622421143R00</t>
  </si>
  <si>
    <t>Omítka vnější stěn, MVC, štuková, složitost 1-2</t>
  </si>
  <si>
    <t>Podlahy a podlahové konstrukce</t>
  </si>
  <si>
    <t>67</t>
  </si>
  <si>
    <t>631312141R00</t>
  </si>
  <si>
    <t>Doplnění rýh betonem v dosavadních mazaninách, provedení dle popisu v PD, ozn.OV16</t>
  </si>
  <si>
    <t>63_</t>
  </si>
  <si>
    <t>68</t>
  </si>
  <si>
    <t>631361921R00</t>
  </si>
  <si>
    <t>Výztuž mazanin svařovanou sítí , ozn.OV16</t>
  </si>
  <si>
    <t>69</t>
  </si>
  <si>
    <t>631471711RT1</t>
  </si>
  <si>
    <t>Vyspravení beton.mazanin do tl.15 mm, očištění, odmaštění -skladba PDL01, bod 6, PDL02, bod 5</t>
  </si>
  <si>
    <t>70</t>
  </si>
  <si>
    <t>631471715R00</t>
  </si>
  <si>
    <t>Vyspravení beton.mazanin - adhézní můstek -skladba PDL01, bod 5, PDL02, bod 4</t>
  </si>
  <si>
    <t>71</t>
  </si>
  <si>
    <t>632411105R00</t>
  </si>
  <si>
    <t>Samonivelační stěrka, ruč.zpracování tl. 5 mm -skladba PDL01, bod 4, PDL 02, bod 3</t>
  </si>
  <si>
    <t>Výplně otvorů</t>
  </si>
  <si>
    <t>72</t>
  </si>
  <si>
    <t>648991113R00</t>
  </si>
  <si>
    <t>Osazení parapet.desek plast. a lamin. š.nad 20cm</t>
  </si>
  <si>
    <t>64_</t>
  </si>
  <si>
    <t>73</t>
  </si>
  <si>
    <t>60775314</t>
  </si>
  <si>
    <t>Parapet interiér DTD postforming šíře 300 mm bílý, ozn.PV01</t>
  </si>
  <si>
    <t>74</t>
  </si>
  <si>
    <t>60775315</t>
  </si>
  <si>
    <t>Parapet interiér DTD postforming šíře 350 mm bílý, ozn.PV02</t>
  </si>
  <si>
    <t>75</t>
  </si>
  <si>
    <t>60775390.1</t>
  </si>
  <si>
    <t>Krytka parapetní plastová postforming dl. 200-700 mm bílá</t>
  </si>
  <si>
    <t>90</t>
  </si>
  <si>
    <t>Hodinové zúčtovací sazby (HZS)</t>
  </si>
  <si>
    <t>76</t>
  </si>
  <si>
    <t>900      R02</t>
  </si>
  <si>
    <t>HZS-stavební dělník v tarifní třídě 5</t>
  </si>
  <si>
    <t>h</t>
  </si>
  <si>
    <t>90_</t>
  </si>
  <si>
    <t>9_</t>
  </si>
  <si>
    <t>77</t>
  </si>
  <si>
    <t>900      R11</t>
  </si>
  <si>
    <t>HZS-dělník zednických výpomocí v tarifní třídě 4</t>
  </si>
  <si>
    <t>78</t>
  </si>
  <si>
    <t>902      R01</t>
  </si>
  <si>
    <t>Hzs-podrobný stavebně technický průzkum stavby</t>
  </si>
  <si>
    <t>79</t>
  </si>
  <si>
    <t>909      R00</t>
  </si>
  <si>
    <t>Hzs-nezměřitelné stavební práce</t>
  </si>
  <si>
    <t>80</t>
  </si>
  <si>
    <t>910      R00</t>
  </si>
  <si>
    <t>Hzs-dohled statika - ozn.Z06 a Z07</t>
  </si>
  <si>
    <t>94</t>
  </si>
  <si>
    <t>Lešení a stavební výtahy</t>
  </si>
  <si>
    <t>81</t>
  </si>
  <si>
    <t>941955001R00</t>
  </si>
  <si>
    <t>Lešení lehké pomocné, výška podlahy do 1,2 m</t>
  </si>
  <si>
    <t>94_</t>
  </si>
  <si>
    <t>82</t>
  </si>
  <si>
    <t>949942101R00</t>
  </si>
  <si>
    <t>Nájem za hydraulickou zvedací plošinu, H do 27 m, vč.přistavení</t>
  </si>
  <si>
    <t>95</t>
  </si>
  <si>
    <t>Různé dokončovací konstrukce a práce na pozemních stavbách</t>
  </si>
  <si>
    <t>83</t>
  </si>
  <si>
    <t>952901111R00</t>
  </si>
  <si>
    <t>Vyčištění budov o výšce podlaží do 4 m</t>
  </si>
  <si>
    <t>95_</t>
  </si>
  <si>
    <t>84</t>
  </si>
  <si>
    <t>953947113R00</t>
  </si>
  <si>
    <t>Osazení kovových předmětů do zdiva, do 15 kg / kus -hasící přístroje</t>
  </si>
  <si>
    <t>85</t>
  </si>
  <si>
    <t>44984124.A</t>
  </si>
  <si>
    <t>Přístroj hasicí práškový PHP s has.schopn.21 A   6 kg, ozn.OV01</t>
  </si>
  <si>
    <t>86</t>
  </si>
  <si>
    <t>953947195RT1</t>
  </si>
  <si>
    <t>M+D Požární ucpávky -dle PBŘ, ozn.OV13</t>
  </si>
  <si>
    <t>sada</t>
  </si>
  <si>
    <t>87</t>
  </si>
  <si>
    <t>953947199RT1</t>
  </si>
  <si>
    <t>M+D Bezpečnostní a informační tabulky a bezp.prvky</t>
  </si>
  <si>
    <t>88</t>
  </si>
  <si>
    <t>959950130RT1</t>
  </si>
  <si>
    <t>Měření hluku na stavbě</t>
  </si>
  <si>
    <t>96</t>
  </si>
  <si>
    <t>Bourání konstrukcí</t>
  </si>
  <si>
    <t>89</t>
  </si>
  <si>
    <t>962032432R00</t>
  </si>
  <si>
    <t>Bourání zdiva parapetu</t>
  </si>
  <si>
    <t>96_</t>
  </si>
  <si>
    <t>962036112R00</t>
  </si>
  <si>
    <t>DMTZ SDK příčky, 1x kov.kce., 1x opláštěné 12,5 mm -dle pozn.4, také skladba SO03c, SO03e</t>
  </si>
  <si>
    <t>91</t>
  </si>
  <si>
    <t>962036124R00</t>
  </si>
  <si>
    <t>DMTZ SDK příčky, 1x kov.kce., 2x opláštěné 12,5 mm-dle pozn.4, také skladba SO03b</t>
  </si>
  <si>
    <t>92</t>
  </si>
  <si>
    <t>962036125R00</t>
  </si>
  <si>
    <t>DMTZ SDK příčky, 2x kov.kce., 2x opláštěné 12,5 mm-dle pozn.4, také skladba SO03a</t>
  </si>
  <si>
    <t>93</t>
  </si>
  <si>
    <t>962036412R00</t>
  </si>
  <si>
    <t>DMTZ SDK předstěny, 1x kov.kce, 1x oplášť.12,5 mm-dle pozn.4, také skladba SO03d</t>
  </si>
  <si>
    <t>962036991R00</t>
  </si>
  <si>
    <t>Přípl.za DMTZ vrstvy tep.izolace tl. 40 mm, příčky-dle pozn.4, také skladba SO03d</t>
  </si>
  <si>
    <t>962036992R00</t>
  </si>
  <si>
    <t>Přípl.za DMTZ vrstvy tep.izolace tl. 50 (60) mm, příčky-dle pozn.4, také skladba SO03a (2x), SO03c, SO03e</t>
  </si>
  <si>
    <t>962036993R00</t>
  </si>
  <si>
    <t>Přípl.za DMTZ vrstvy tep.izolace tl.100 (80) mm, příčky-dle pozn.4, také skladba SO03b</t>
  </si>
  <si>
    <t>97</t>
  </si>
  <si>
    <t>963016111R00</t>
  </si>
  <si>
    <t>Demontáž podhledu SDK, kovová kce., 1xoplášť.12,5 mm</t>
  </si>
  <si>
    <t>98</t>
  </si>
  <si>
    <t>963016341R00</t>
  </si>
  <si>
    <t>DMTZ podkroví SDK, dřevěný rošt, 1xoplášť.12,5 mm -dle pozn.3, také skladba STR01, body 5, 6</t>
  </si>
  <si>
    <t>99</t>
  </si>
  <si>
    <t>963016891R00</t>
  </si>
  <si>
    <t>Přípl.za DMTZ foliové parozábrany, podhled -dle pozn.3, také skladba STR01, bod 4</t>
  </si>
  <si>
    <t>100</t>
  </si>
  <si>
    <t>963016997R00</t>
  </si>
  <si>
    <t>Přípl.za DMTZ vrstvy tep.izolace tl.160 mm,podhled -dle pozn.3, také skladba STR01, bod 3</t>
  </si>
  <si>
    <t>101</t>
  </si>
  <si>
    <t>965048130R00</t>
  </si>
  <si>
    <t>Dočištění povrchu po vybourání dlažeb, tmel do 30%</t>
  </si>
  <si>
    <t>102</t>
  </si>
  <si>
    <t>965048515R00</t>
  </si>
  <si>
    <t>Broušení betonových povrchů do tl. 5 mm -skladba PDL01, bod 6, PDL02, bod 5</t>
  </si>
  <si>
    <t>103</t>
  </si>
  <si>
    <t>965081713RT1</t>
  </si>
  <si>
    <t>Bourání dlažeb keramických tl.10 mm, nad 1 m2, ručně, dlaždice keramické -dle pozn.2</t>
  </si>
  <si>
    <t>104</t>
  </si>
  <si>
    <t>966077110RT1</t>
  </si>
  <si>
    <t>Demontáž stávajícího výlezu do podstřeší -dle pozn.8, vč.ekolog.likvidace na skládce</t>
  </si>
  <si>
    <t>105</t>
  </si>
  <si>
    <t>966077110RT2</t>
  </si>
  <si>
    <t>Demontáž dekorační lišty -dle pozn.11, vč.ekolog.likvidace na skládce</t>
  </si>
  <si>
    <t>106</t>
  </si>
  <si>
    <t>966077110RT3</t>
  </si>
  <si>
    <t>Demontáž drátěné klece -dle pozn.12, vč.ekolog.likvidace na skládce</t>
  </si>
  <si>
    <t>107</t>
  </si>
  <si>
    <t>966077110RT4</t>
  </si>
  <si>
    <t>Demontáž madel a ochranných lišt na chodbě -dle pozn.13, vč.ekolog.likvidace na skládce</t>
  </si>
  <si>
    <t>108</t>
  </si>
  <si>
    <t>966079871R00</t>
  </si>
  <si>
    <t>Přerušení ocelových profilů průřezu do 4 cm2 -dle pozn.18</t>
  </si>
  <si>
    <t>109</t>
  </si>
  <si>
    <t>966079881R00</t>
  </si>
  <si>
    <t>Přerušení ocelových profilů průřezu do 7 cm2 -dle pozn.18</t>
  </si>
  <si>
    <t>110</t>
  </si>
  <si>
    <t>966079991R00</t>
  </si>
  <si>
    <t>Příplatek za každých dalších 5 cm2 průřezu -dle pozn.18</t>
  </si>
  <si>
    <t>111</t>
  </si>
  <si>
    <t>967031132R00</t>
  </si>
  <si>
    <t>Přisekání rovných ostění cihelných na MVC -dle pozn.9</t>
  </si>
  <si>
    <t>112</t>
  </si>
  <si>
    <t>968061125R00</t>
  </si>
  <si>
    <t>Vyvěšení dřevěných dveřních křídel pl. do 2 m2 -dle pozn.6 a pozn.14</t>
  </si>
  <si>
    <t>113</t>
  </si>
  <si>
    <t>968061125RT0</t>
  </si>
  <si>
    <t>Zavěšení dřevěných dveřních křídel pl. do 2 m2 -dle pozn.14 a pozn.b)</t>
  </si>
  <si>
    <t>114</t>
  </si>
  <si>
    <t>968061126R00</t>
  </si>
  <si>
    <t>Vyvěšení dřevěných dveřních křídel pl. nad 2 m2 -dle pozn.6 a pozn.14</t>
  </si>
  <si>
    <t>115</t>
  </si>
  <si>
    <t>968061126RT0</t>
  </si>
  <si>
    <t>Zavěšení dřevěných dveřních křídel pl. nad 2 m2 -dle pozn.14 a pozn.b)</t>
  </si>
  <si>
    <t>116</t>
  </si>
  <si>
    <t>968072455R00</t>
  </si>
  <si>
    <t>Vybourání kovových dveřních zárubní pl. do 2 m2 -dle pozn.6</t>
  </si>
  <si>
    <t>117</t>
  </si>
  <si>
    <t>968072456R00</t>
  </si>
  <si>
    <t>Vybourání kovových dveřních zárubní pl. nad 2 m2 -dle pozn.6</t>
  </si>
  <si>
    <t>118</t>
  </si>
  <si>
    <t>968083003R00</t>
  </si>
  <si>
    <t>Vybourání plastových oken do 4 m2</t>
  </si>
  <si>
    <t>119</t>
  </si>
  <si>
    <t>968096001R00</t>
  </si>
  <si>
    <t>Bourání parapetů plastových š. do 20 (23) cm -dle pozn.20</t>
  </si>
  <si>
    <t>Prorážení otvorů a ostatní bourací práce</t>
  </si>
  <si>
    <t>120</t>
  </si>
  <si>
    <t>971033351R00</t>
  </si>
  <si>
    <t>Vybourání otv. zeď cihel. pl.0,09 m2, tl.45 (40) cm, MVC</t>
  </si>
  <si>
    <t>97_</t>
  </si>
  <si>
    <t>121</t>
  </si>
  <si>
    <t>971033451R00</t>
  </si>
  <si>
    <t>Vybourání otv. zeď cihel. pl.0,25 m2, tl.45 (50)cm, MVC 400x350mm</t>
  </si>
  <si>
    <t>122</t>
  </si>
  <si>
    <t>971033541R00</t>
  </si>
  <si>
    <t>Vybourání otv. zeď cihel. pl.1 m2, tl.30 (25) cm, MVC -dle pozn.9</t>
  </si>
  <si>
    <t>123</t>
  </si>
  <si>
    <t>971033641R00</t>
  </si>
  <si>
    <t>Vybourání otv. zeď cihel. pl.4 m2, tl.30 (25) cm, MVC -dle pozn.9</t>
  </si>
  <si>
    <t>124</t>
  </si>
  <si>
    <t>971033651R00</t>
  </si>
  <si>
    <t>Vybourání otv. zeď cihel. pl.4 m2, tl.60 (50) cm, MVC -dle pozn.9</t>
  </si>
  <si>
    <t>125</t>
  </si>
  <si>
    <t>971081621R00</t>
  </si>
  <si>
    <t>Vybourání otvorů příčky deskové 4,0 m2, tl. 10 cm -dle pozn.10</t>
  </si>
  <si>
    <t>126</t>
  </si>
  <si>
    <t>971081621RT1</t>
  </si>
  <si>
    <t>Vybourání otvorů příčky deskové 4,0 m2, tl. 10 cm -dle pozn.10, vč.doplnění profilů</t>
  </si>
  <si>
    <t>127</t>
  </si>
  <si>
    <t>973031151R00</t>
  </si>
  <si>
    <t>Vysekání výklenků zeď cihel. MVC, pl. nad 0,25 m2 -dle pozn.9</t>
  </si>
  <si>
    <t>128</t>
  </si>
  <si>
    <t>973031324R00</t>
  </si>
  <si>
    <t>Vysekání kapes zeď cihel. MVC, pl. 0,1m2, hl. 15cm -dle pozn.9</t>
  </si>
  <si>
    <t>129</t>
  </si>
  <si>
    <t>978013121R00</t>
  </si>
  <si>
    <t>Otlučení omítek vnitřních stěn v rozsahu do 10 % -dle pozn.7</t>
  </si>
  <si>
    <t>130</t>
  </si>
  <si>
    <t>978013211R00</t>
  </si>
  <si>
    <t>Odstranění štukové vrstvy omítky z vnitřních stěn -dle pozn.7</t>
  </si>
  <si>
    <t>131</t>
  </si>
  <si>
    <t>978059531R00</t>
  </si>
  <si>
    <t>Odsekání vnitřních obkladů stěn nad 2 m2 -dle pozn.1</t>
  </si>
  <si>
    <t>S</t>
  </si>
  <si>
    <t>Přesuny sutí</t>
  </si>
  <si>
    <t>132</t>
  </si>
  <si>
    <t>979011111R00</t>
  </si>
  <si>
    <t>Svislá doprava suti a vybour. hmot za 2.NP a 1.PP</t>
  </si>
  <si>
    <t>S_</t>
  </si>
  <si>
    <t>133</t>
  </si>
  <si>
    <t>979011121R00</t>
  </si>
  <si>
    <t>Příplatek za každé další podlaží</t>
  </si>
  <si>
    <t>134</t>
  </si>
  <si>
    <t>979081111R00</t>
  </si>
  <si>
    <t>Odvoz suti a vybour. hmot na skládku do 1 km</t>
  </si>
  <si>
    <t>135</t>
  </si>
  <si>
    <t>979081121R00</t>
  </si>
  <si>
    <t>Příplatek k odvozu za každý další 1 km</t>
  </si>
  <si>
    <t>136</t>
  </si>
  <si>
    <t>979086112R00</t>
  </si>
  <si>
    <t>Nakládání nebo překládání suti a vybouraných hmot</t>
  </si>
  <si>
    <t>137</t>
  </si>
  <si>
    <t>979087311R00</t>
  </si>
  <si>
    <t>Vodorovné přemístění suti nošením do 10 m</t>
  </si>
  <si>
    <t>138</t>
  </si>
  <si>
    <t>979087391R00</t>
  </si>
  <si>
    <t>Příplatek za nošení suti každých dalších 10 m</t>
  </si>
  <si>
    <t>139</t>
  </si>
  <si>
    <t>979093111R00</t>
  </si>
  <si>
    <t>Uložení suti na skládku bez zhutnění</t>
  </si>
  <si>
    <t>140</t>
  </si>
  <si>
    <t>979990105R00</t>
  </si>
  <si>
    <t>Poplatek za uložení suti - cihelné výrobky, skupina odpadu 170102</t>
  </si>
  <si>
    <t>141</t>
  </si>
  <si>
    <t>979990107R00</t>
  </si>
  <si>
    <t>Poplatek za uložení suti - směs omítky, betony, zárubně, dveře apod., skupina odpadu 170904</t>
  </si>
  <si>
    <t>142</t>
  </si>
  <si>
    <t>979990110R00</t>
  </si>
  <si>
    <t>Poplatek za uložení suti - sádrokartonové desky, skupina odpadu 170802</t>
  </si>
  <si>
    <t>143</t>
  </si>
  <si>
    <t>979990111R00</t>
  </si>
  <si>
    <t>Poplatek za uložení suti - stavební keramika-obklady, dlažby, skupina odpadu 170103</t>
  </si>
  <si>
    <t>144</t>
  </si>
  <si>
    <t>979990121R00</t>
  </si>
  <si>
    <t>Poplatek za uložení suti - asfaltové pásy, folie skupina odpadu 170302</t>
  </si>
  <si>
    <t>145</t>
  </si>
  <si>
    <t>979990144R00</t>
  </si>
  <si>
    <t>Poplatek za uložení suti - minerální vata, skupina odpadu 170604</t>
  </si>
  <si>
    <t>146</t>
  </si>
  <si>
    <t>979990161R00</t>
  </si>
  <si>
    <t>Poplatek za uložení - dřevo, skupina odpadu 170201</t>
  </si>
  <si>
    <t>147</t>
  </si>
  <si>
    <t>979990163R00</t>
  </si>
  <si>
    <t>Poplatek za uložení suti - plast + sklo (okno+parapety), skupina odpadu 170904</t>
  </si>
  <si>
    <t>148</t>
  </si>
  <si>
    <t>979990181R00</t>
  </si>
  <si>
    <t>Poplatek za uložení suti - PVC podlahová krytina, skupina odpadu 200307</t>
  </si>
  <si>
    <t>H99</t>
  </si>
  <si>
    <t>Ostatní přesuny hmot</t>
  </si>
  <si>
    <t>149</t>
  </si>
  <si>
    <t>999281111R00</t>
  </si>
  <si>
    <t>Přesun hmot pro opravy a údržbu do výšky 25 m</t>
  </si>
  <si>
    <t>H99_</t>
  </si>
  <si>
    <t>712</t>
  </si>
  <si>
    <t>Izolace střech (živičné krytiny)</t>
  </si>
  <si>
    <t>150</t>
  </si>
  <si>
    <t>712300010RA0</t>
  </si>
  <si>
    <t>Demontáž povlakové krytiny střech, vč.ekolog.likvidace na skládce -dle pozn.m) a pozn.19</t>
  </si>
  <si>
    <t>712_</t>
  </si>
  <si>
    <t>71_</t>
  </si>
  <si>
    <t>151</t>
  </si>
  <si>
    <t>712340012RAB</t>
  </si>
  <si>
    <t>Povlaková krytina střech do 10°, přitavením, 2x SBS pás -dle pozn.j)</t>
  </si>
  <si>
    <t>152</t>
  </si>
  <si>
    <t>712710010RA3</t>
  </si>
  <si>
    <t>Krytina střech do 25 st. živičným šindelem -obnovení střechy dle pozn.m)</t>
  </si>
  <si>
    <t>153</t>
  </si>
  <si>
    <t>998712103R00</t>
  </si>
  <si>
    <t>Přesun hmot pro povlakové krytiny, výšky do 24 m</t>
  </si>
  <si>
    <t>713</t>
  </si>
  <si>
    <t>Izolace tepelné</t>
  </si>
  <si>
    <t>154</t>
  </si>
  <si>
    <t>713111111RT2</t>
  </si>
  <si>
    <t>Montáž tepelné izolace stropů vrchem kladené, volně, 2 vrstvy -skladba STR01, bod 3</t>
  </si>
  <si>
    <t>713_</t>
  </si>
  <si>
    <t>155</t>
  </si>
  <si>
    <t>631508207</t>
  </si>
  <si>
    <t>Pás izolační (0,035 W/mK) ze skelné vlny tl. 160 mm</t>
  </si>
  <si>
    <t>156</t>
  </si>
  <si>
    <t>713121111RU7</t>
  </si>
  <si>
    <t>Montáž tepelné izolace podlah na sucho, jednovrstvá, vč.dodávky min.vaty tl.25mm, ozn.OV16</t>
  </si>
  <si>
    <t>157</t>
  </si>
  <si>
    <t>713134211RK6</t>
  </si>
  <si>
    <t>Montáž parozábrany na stěny s přelepením spojů, vč.dodávky -dle pozn.p)</t>
  </si>
  <si>
    <t>158</t>
  </si>
  <si>
    <t>713141221RK9</t>
  </si>
  <si>
    <t>Montáž parozábrany, přelep. spojů, vč.dodávky folie -skladba STR01, bod 4</t>
  </si>
  <si>
    <t>159</t>
  </si>
  <si>
    <t>713191105RT9</t>
  </si>
  <si>
    <t>Položení difúzní folie kontaktní, včetně dodávky -skladba STR01, bod 3</t>
  </si>
  <si>
    <t>160</t>
  </si>
  <si>
    <t>998713103R00</t>
  </si>
  <si>
    <t>Přesun hmot pro izolace tepelné, výšky do 24 m</t>
  </si>
  <si>
    <t>721</t>
  </si>
  <si>
    <t>Vnitřní kanalizace</t>
  </si>
  <si>
    <t>161</t>
  </si>
  <si>
    <t>721100101</t>
  </si>
  <si>
    <t>Demontáž - Odpadní a připojovací potrubí litinové/plastové do DN 200, vč. tvarovek</t>
  </si>
  <si>
    <t>721_</t>
  </si>
  <si>
    <t>72_</t>
  </si>
  <si>
    <t>162</t>
  </si>
  <si>
    <t>721100102</t>
  </si>
  <si>
    <t>WC - Kombinovaný klozet keramický (stojatý) - odstranit, včetně armatur a potrubí</t>
  </si>
  <si>
    <t>163</t>
  </si>
  <si>
    <t>721100103</t>
  </si>
  <si>
    <t>U - Keramické umyvadlo závěsné - odstranit, včetně armatur a potrubí</t>
  </si>
  <si>
    <t>164</t>
  </si>
  <si>
    <t>721100104</t>
  </si>
  <si>
    <t>SK - Sprchová vanička akrylátová - odstranit, včetně armatur a potrubí</t>
  </si>
  <si>
    <t>165</t>
  </si>
  <si>
    <t>721100105</t>
  </si>
  <si>
    <t>D - Vestavěný nerezový dřez - odstranit, včetně armatur a potrubí</t>
  </si>
  <si>
    <t>166</t>
  </si>
  <si>
    <t>721100106</t>
  </si>
  <si>
    <t>PV1 - Podlahová vpusť - odstranit, včetně armatur, potrubí zaslepeno</t>
  </si>
  <si>
    <t>167</t>
  </si>
  <si>
    <t>721100107</t>
  </si>
  <si>
    <t>PV2 - Podlahová vpusť - demontáž mřížky, zprůchodnění, zachována</t>
  </si>
  <si>
    <t>168</t>
  </si>
  <si>
    <t>721100108</t>
  </si>
  <si>
    <t>PH - Přivzdušňovací hlavice - odstranit, včetně armatur a potrubí (předpoklad)</t>
  </si>
  <si>
    <t>169</t>
  </si>
  <si>
    <t>721100109</t>
  </si>
  <si>
    <t>VL - Keramická výlevka - odstranit, včetně armatur a potrubí</t>
  </si>
  <si>
    <t>170</t>
  </si>
  <si>
    <t>721100110</t>
  </si>
  <si>
    <t>V - zdravotnické zařízení, vana vodoléčby s podezdívkou-odstranit kompletní demontáž, včetně vybourání podezdívky, odstr.obkladů, armatur a potrubí</t>
  </si>
  <si>
    <t>171</t>
  </si>
  <si>
    <t>721100201</t>
  </si>
  <si>
    <t>D+M - Odpadní a připojovací potrubí DN 32</t>
  </si>
  <si>
    <t>172</t>
  </si>
  <si>
    <t>721100202</t>
  </si>
  <si>
    <t>D+M - Odpadní a připojovací potrubí DN 40</t>
  </si>
  <si>
    <t>173</t>
  </si>
  <si>
    <t>721100203</t>
  </si>
  <si>
    <t>D+M - Odpadní a připojovací potrubí DN 50</t>
  </si>
  <si>
    <t>174</t>
  </si>
  <si>
    <t>721100204</t>
  </si>
  <si>
    <t>D+M - Odpadní a připojovací potrubí DN 75</t>
  </si>
  <si>
    <t>175</t>
  </si>
  <si>
    <t>721100205</t>
  </si>
  <si>
    <t>D+M - Odpadní a připojovací potrubí DN 110</t>
  </si>
  <si>
    <t>176</t>
  </si>
  <si>
    <t>721100301</t>
  </si>
  <si>
    <t>D+M - Odpadní a připojovací potrubí - (HT-SYSTÉM)- DN 50</t>
  </si>
  <si>
    <t>177</t>
  </si>
  <si>
    <t>721100302</t>
  </si>
  <si>
    <t>D+M - Odpadní a připojovací potrubí - (HT-SYSTÉM)- DN 40</t>
  </si>
  <si>
    <t>178</t>
  </si>
  <si>
    <t>721100401</t>
  </si>
  <si>
    <t>Vyvedení a upevnění odpadních výpustek</t>
  </si>
  <si>
    <t>179</t>
  </si>
  <si>
    <t>721100402</t>
  </si>
  <si>
    <t>D+M - hrdlo přesuvné DN110</t>
  </si>
  <si>
    <t>180</t>
  </si>
  <si>
    <t>721100403</t>
  </si>
  <si>
    <t>D+M - Čistící kus DN 90</t>
  </si>
  <si>
    <t>181</t>
  </si>
  <si>
    <t>721100404</t>
  </si>
  <si>
    <t>D+M - Čistící kus DN 110</t>
  </si>
  <si>
    <t>182</t>
  </si>
  <si>
    <t>721100405</t>
  </si>
  <si>
    <t>D+M - Zátka DN 32</t>
  </si>
  <si>
    <t>183</t>
  </si>
  <si>
    <t>721100406</t>
  </si>
  <si>
    <t>D+M - Zátka DN 40</t>
  </si>
  <si>
    <t>184</t>
  </si>
  <si>
    <t>721100407</t>
  </si>
  <si>
    <t>D+M - Zátka DN 50</t>
  </si>
  <si>
    <t>185</t>
  </si>
  <si>
    <t>721100408</t>
  </si>
  <si>
    <t>D+M - Zátka DN 75</t>
  </si>
  <si>
    <t>186</t>
  </si>
  <si>
    <t>721100409</t>
  </si>
  <si>
    <t>D+M - Zátka DN 110</t>
  </si>
  <si>
    <t>187</t>
  </si>
  <si>
    <t>721100501</t>
  </si>
  <si>
    <t>D+M - WC - Klozet keramický závěsný, včetně příslušenství</t>
  </si>
  <si>
    <t>188</t>
  </si>
  <si>
    <t>721100502</t>
  </si>
  <si>
    <t>D+M - WCi - Klozet keramický závěsný pro imobilní s prodlouženou délkou, včetně příslušenství</t>
  </si>
  <si>
    <t>189</t>
  </si>
  <si>
    <t>721100503</t>
  </si>
  <si>
    <t>D+M - U - Umyvadlo keramické závěsné 55 cm, včetně příslušenství</t>
  </si>
  <si>
    <t>190</t>
  </si>
  <si>
    <t>721100504</t>
  </si>
  <si>
    <t>D+M - U - Podomítkový montážní prvek pro umyvadlo, pro suchou výstavbu, s funkčním boxem pod omítku</t>
  </si>
  <si>
    <t>191</t>
  </si>
  <si>
    <t>721100505</t>
  </si>
  <si>
    <t>D+M - Ui - Umyvadlo keramické závěsné 60 cm, včetně příslušenství</t>
  </si>
  <si>
    <t>192</t>
  </si>
  <si>
    <t>721100506</t>
  </si>
  <si>
    <t>D+M - Ui - Podomítkový montážní prvek pro umyvadlo, pro suchou výstavbu, s funkčním boxem pod omítku</t>
  </si>
  <si>
    <t>193</t>
  </si>
  <si>
    <t>721100507</t>
  </si>
  <si>
    <t>D+M - Um - Keramické asymetrické umývátko 45 cm s odkládací plochou</t>
  </si>
  <si>
    <t>194</t>
  </si>
  <si>
    <t>721100508</t>
  </si>
  <si>
    <t>D+M - Um - Podomítkový montážní prvek pro umyvadlo, pro suchou výstavbu, s funkčním boxem pod omítku</t>
  </si>
  <si>
    <t>195</t>
  </si>
  <si>
    <t>721100509</t>
  </si>
  <si>
    <t>D+M - SK - Čtvrtkruhová akrylátová sprchová vanička 90 cm + Čtvrtkruhový sprchový kout čtyřdílný 90 cm</t>
  </si>
  <si>
    <t>196</t>
  </si>
  <si>
    <t>721100510</t>
  </si>
  <si>
    <t>D+M - VL - Výlevka keramická závěsná s plastovou sklopnou mřížkou</t>
  </si>
  <si>
    <t>197</t>
  </si>
  <si>
    <t>721100511</t>
  </si>
  <si>
    <t>D+M - M, MLS- Podomítková zápachová uzávěrka DN 40 / DN 50 pro myčky s připojením rozvodu vody, krycí deska 180x110mm</t>
  </si>
  <si>
    <t>198</t>
  </si>
  <si>
    <t>721100512</t>
  </si>
  <si>
    <t>D+M - M, MLS - Prvek příčného nosníku pro myčku, pro suchou výstavbu, nástěnná armatura na omítku, se zápachovou uzávěrkou pod omítku</t>
  </si>
  <si>
    <t>199</t>
  </si>
  <si>
    <t>721100513</t>
  </si>
  <si>
    <t>D+M - D - Příprava pro připojení dřezu (dodávka lékařské technologie) - zátka DN50</t>
  </si>
  <si>
    <t>200</t>
  </si>
  <si>
    <t>721100514</t>
  </si>
  <si>
    <t>D+M - D - Podomítkový montážní prvek pro dřez a stojánkovou armaturu, pro suchou výstavbu</t>
  </si>
  <si>
    <t>201</t>
  </si>
  <si>
    <t>721100515</t>
  </si>
  <si>
    <t>D+M - D2 - Nerezový dřez bez odkapu o rozměrech 405 x 525 mm</t>
  </si>
  <si>
    <t>202</t>
  </si>
  <si>
    <t>721100516</t>
  </si>
  <si>
    <t>D+M - D2 - Podomítkový montážní prvek pro dřez a stojánkovou armaturu, pro suchou výstavbu</t>
  </si>
  <si>
    <t>203</t>
  </si>
  <si>
    <t>721100517</t>
  </si>
  <si>
    <t>D+M - Dd - Příprava pro připojení dvojdřezu (dodávka lékařské technologie) - zátka DN50</t>
  </si>
  <si>
    <t>204</t>
  </si>
  <si>
    <t>721100518</t>
  </si>
  <si>
    <t>D+M - Dd - Podomítkový montážní prvek pro dřez a stojánkovou armaturu, pro suchou výstavbu</t>
  </si>
  <si>
    <t>205</t>
  </si>
  <si>
    <t>721100519</t>
  </si>
  <si>
    <t>D+M - Dd2 - Nerezový dvojdřez, s otvorem na baterii</t>
  </si>
  <si>
    <t>206</t>
  </si>
  <si>
    <t>721100520</t>
  </si>
  <si>
    <t>D+M - Dd2 - Podomítkový montážní prvek pro dřez a stojánkovou armaturu, pro suchou výstavbu</t>
  </si>
  <si>
    <t>207</t>
  </si>
  <si>
    <t>721100521</t>
  </si>
  <si>
    <t>D+M - PV2 - Koupelnová vpusť DN 40/50</t>
  </si>
  <si>
    <t>208</t>
  </si>
  <si>
    <t>721100522</t>
  </si>
  <si>
    <t>D+M - K - Vodní zápachová uzávěrka DN32 pro odvod kondenzátu s hygienickým adaptérem</t>
  </si>
  <si>
    <t>209</t>
  </si>
  <si>
    <t>721100523</t>
  </si>
  <si>
    <t>D+M - K2- Podomítková zápachová uzávěrka DN 40 / DN 50 pro myčky s připojením rozvodu vody, krycí deska 180x110mm</t>
  </si>
  <si>
    <t>210</t>
  </si>
  <si>
    <t>721100524</t>
  </si>
  <si>
    <t>D+M - HP1 - Přivzdušňovací ventil DN 50/75/110 s dvojitou izolační stěnou</t>
  </si>
  <si>
    <t>211</t>
  </si>
  <si>
    <t>721100525</t>
  </si>
  <si>
    <t>D+M - HP2 - Přivzdušňovací ventil (podomítková verze) DN 50/75</t>
  </si>
  <si>
    <t>212</t>
  </si>
  <si>
    <t>721100526</t>
  </si>
  <si>
    <t>D+M - KLI ... - Připojení klimatizačních jednotek, dle požadavků výrobce zařízení</t>
  </si>
  <si>
    <t>213</t>
  </si>
  <si>
    <t>721100527</t>
  </si>
  <si>
    <t>D+M - VZT ... - Připojení vzduchotechnických jednotek, dle požadavků výrobce zařízení - 3x nový sifon</t>
  </si>
  <si>
    <t>214</t>
  </si>
  <si>
    <t>721100528</t>
  </si>
  <si>
    <t>D+M - A40 - Příprava pro napojení lékařské technologie, výška odpadu max 400mm, ukončeno zátkou DN40</t>
  </si>
  <si>
    <t>215</t>
  </si>
  <si>
    <t>721100529</t>
  </si>
  <si>
    <t>D+M - A50 - Příprava pro napojení lékařské technologie, výška odpadu max 500mm. ukončeno zátkou DN40</t>
  </si>
  <si>
    <t>216</t>
  </si>
  <si>
    <t>721100530</t>
  </si>
  <si>
    <t>D+M - Čerpadlo kondenzátu pro vnitřní klimatizační jednotky</t>
  </si>
  <si>
    <t>217</t>
  </si>
  <si>
    <t>721100531</t>
  </si>
  <si>
    <t>D+M - Revizní dvířka 150x300 mm</t>
  </si>
  <si>
    <t>218</t>
  </si>
  <si>
    <t>721100532</t>
  </si>
  <si>
    <t>D+M - Sklopné zrcadlo nad umyvadlo s možností naklopení o 10°, s páčkou, nerezové</t>
  </si>
  <si>
    <t>219</t>
  </si>
  <si>
    <t>721100533</t>
  </si>
  <si>
    <t>D+M - Madlo toaletní, 900 mm, pevné, nerezové</t>
  </si>
  <si>
    <t>220</t>
  </si>
  <si>
    <t>721100534</t>
  </si>
  <si>
    <t>D+M - Madlo toaletní, 834 mm sklopné, s držákem toaletního papíru, nerezové</t>
  </si>
  <si>
    <t>221</t>
  </si>
  <si>
    <t>721100535</t>
  </si>
  <si>
    <t>D+M - Madlo univerzální 600 mm, pevné, závěsné, nerezové</t>
  </si>
  <si>
    <t>222</t>
  </si>
  <si>
    <t>721100536</t>
  </si>
  <si>
    <t>D+M - Prvek pro podpěry, 112 cm, samonosný, pro bezbariérové řešení, B: 365 mm, H: 1120 mm, T: 40 mm</t>
  </si>
  <si>
    <t>223</t>
  </si>
  <si>
    <t>721100537</t>
  </si>
  <si>
    <t>D+M - D3 - Nerezový dřez s odkapem, s otvorem na baterii</t>
  </si>
  <si>
    <t>224</t>
  </si>
  <si>
    <t>721100601</t>
  </si>
  <si>
    <t>D+M - Protipožární manžeta na potrubí do DN 50</t>
  </si>
  <si>
    <t>225</t>
  </si>
  <si>
    <t>721100602</t>
  </si>
  <si>
    <t>D+M - Protipožární manžeta na potrubí DN 75</t>
  </si>
  <si>
    <t>226</t>
  </si>
  <si>
    <t>721100603</t>
  </si>
  <si>
    <t>D+M - Protipožární manžeta na potrubí DN 110</t>
  </si>
  <si>
    <t>227</t>
  </si>
  <si>
    <t>721100604</t>
  </si>
  <si>
    <t>D+M - Požární utěsnění prostupu - min. EI 60-120 min</t>
  </si>
  <si>
    <t>228</t>
  </si>
  <si>
    <t>721100701</t>
  </si>
  <si>
    <t>Drážky pro potrubí DN 32 až 90 - 100x100 mm ve stěně + oprava a začištění omítky</t>
  </si>
  <si>
    <t>229</t>
  </si>
  <si>
    <t>721100702</t>
  </si>
  <si>
    <t>Prostup stropní (Střešní) konstrukcí pro potrubí + oprava a začištění stropu a střechy + utěsnění</t>
  </si>
  <si>
    <t>230</t>
  </si>
  <si>
    <t>721100703</t>
  </si>
  <si>
    <t>Prostup základem pro potrubí + oprava a začištění + utěsnění</t>
  </si>
  <si>
    <t>231</t>
  </si>
  <si>
    <t>721100704</t>
  </si>
  <si>
    <t>Ostatní bourací, přípomocné a zednické práce</t>
  </si>
  <si>
    <t>hod</t>
  </si>
  <si>
    <t>232</t>
  </si>
  <si>
    <t>721100801</t>
  </si>
  <si>
    <t>D+M - Zvukové izolace na potrubí 35-40 x 3 mm</t>
  </si>
  <si>
    <t>233</t>
  </si>
  <si>
    <t>721100802</t>
  </si>
  <si>
    <t>D+M - Zvukové izolace na potrubí 50 x 5 mm</t>
  </si>
  <si>
    <t>234</t>
  </si>
  <si>
    <t>721100803</t>
  </si>
  <si>
    <t>D+M - Zvukové izolace na potrubí 75 x 5 mm</t>
  </si>
  <si>
    <t>235</t>
  </si>
  <si>
    <t>721100804</t>
  </si>
  <si>
    <t>D+M - Zvukové izolace na potrubí 110 x 5 mm</t>
  </si>
  <si>
    <t>236</t>
  </si>
  <si>
    <t>721100805</t>
  </si>
  <si>
    <t>D+M - Pás z pěnového polyetylenu 15 mm</t>
  </si>
  <si>
    <t>237</t>
  </si>
  <si>
    <t>721100806</t>
  </si>
  <si>
    <t>D+M - Lehčená lepicí páska 2 x 40 mm, kotouč 25 m</t>
  </si>
  <si>
    <t>238</t>
  </si>
  <si>
    <t>721100901</t>
  </si>
  <si>
    <t>Tlaková zkouška potrubí do DN 200</t>
  </si>
  <si>
    <t>239</t>
  </si>
  <si>
    <t>721100902</t>
  </si>
  <si>
    <t>Pročištění potrubí do DN 200</t>
  </si>
  <si>
    <t>240</t>
  </si>
  <si>
    <t>721100903</t>
  </si>
  <si>
    <t>Zkouška těsnosti kanalizačního potrubí do DN 200</t>
  </si>
  <si>
    <t>241</t>
  </si>
  <si>
    <t>721100904</t>
  </si>
  <si>
    <t>Pojízdné lešení, pomocné konstrukce, montážní plošina v rámci výšky jednoho podlaží</t>
  </si>
  <si>
    <t>242</t>
  </si>
  <si>
    <t>721100905</t>
  </si>
  <si>
    <t>Přesun hmot</t>
  </si>
  <si>
    <t>243</t>
  </si>
  <si>
    <t>721100906</t>
  </si>
  <si>
    <t>Dokumentace skutečného provedení (3 paré) - není součástí položky ve VRN</t>
  </si>
  <si>
    <t>244</t>
  </si>
  <si>
    <t>721100907</t>
  </si>
  <si>
    <t>Koordinace - není součástí položky ve VRN</t>
  </si>
  <si>
    <t>722</t>
  </si>
  <si>
    <t>Vnitřní vodovod</t>
  </si>
  <si>
    <t>245</t>
  </si>
  <si>
    <t>722100101</t>
  </si>
  <si>
    <t>Demontáž - Ocelové nebo plastové potrubí do DN 80 - vč. armatur a kotvení potrubí a izolací</t>
  </si>
  <si>
    <t>722_</t>
  </si>
  <si>
    <t>246</t>
  </si>
  <si>
    <t>722100102</t>
  </si>
  <si>
    <t>Demontáž - WC - Nástěnný rohový ventil pro WC- odstranit bez náhrady, včetně armatur a potrubí</t>
  </si>
  <si>
    <t>247</t>
  </si>
  <si>
    <t>722100103</t>
  </si>
  <si>
    <t>Demontáž - U - Umyvadlová baterie nástěnná - odstranit bez náhrady, včetně armatur a potrubí</t>
  </si>
  <si>
    <t>248</t>
  </si>
  <si>
    <t>722100104</t>
  </si>
  <si>
    <t>Demontáž - SK - Sprchová baterie nástěnná - odstranit bez náhrady, včetně armatur a potrubí</t>
  </si>
  <si>
    <t>249</t>
  </si>
  <si>
    <t>722100105</t>
  </si>
  <si>
    <t>Demontáž - VV - Výtokový ventil - odstranit bez náhrady, včetně armatur a potrubí</t>
  </si>
  <si>
    <t>250</t>
  </si>
  <si>
    <t>722100106</t>
  </si>
  <si>
    <t>Demontáž - VL - Nástěnná baterie výlevková - odstranit vč. nádržky, bez náhrady, včetně armatur a potrubí</t>
  </si>
  <si>
    <t>251</t>
  </si>
  <si>
    <t>722100107</t>
  </si>
  <si>
    <t>Demontáž - D - Dřezová baterie nástěnná - odstranit bez náhrady, včetně armatur a potrubí</t>
  </si>
  <si>
    <t>252</t>
  </si>
  <si>
    <t>722100108</t>
  </si>
  <si>
    <t>Ochranná opatření - H - Hydrantový systém C52 - zakryto proti poškození</t>
  </si>
  <si>
    <t>253</t>
  </si>
  <si>
    <t>722100109</t>
  </si>
  <si>
    <t>Demontáž - uzávěrů (kk, kkv a pod) do DN 32 - odstranit, vč. příslušenství a potrubí</t>
  </si>
  <si>
    <t>254</t>
  </si>
  <si>
    <t>722100110</t>
  </si>
  <si>
    <t>Demontáž - V - Sprchová baterie vodoléčby - odstranit bez náhrady, včetně armatur a potrubí</t>
  </si>
  <si>
    <t>255</t>
  </si>
  <si>
    <t>722100201</t>
  </si>
  <si>
    <t>D+M - potrubí PP-RCT (S 3,2) - d 20x2,8 mm</t>
  </si>
  <si>
    <t>256</t>
  </si>
  <si>
    <t>722100202</t>
  </si>
  <si>
    <t>D+M - potrubí PP-RCT (S 3,2) - d 25x3,5 mm</t>
  </si>
  <si>
    <t>257</t>
  </si>
  <si>
    <t>722100301</t>
  </si>
  <si>
    <t>D+M - Izolace MV tl. 40 mm + polep ALS fólií na potrubí d 20-22 mm</t>
  </si>
  <si>
    <t>258</t>
  </si>
  <si>
    <t>722100302</t>
  </si>
  <si>
    <t>D+M - Izolace MV tl. 40 mm + polep ALS fólií na potrubí d 25-28 mm</t>
  </si>
  <si>
    <t>259</t>
  </si>
  <si>
    <t>722100303</t>
  </si>
  <si>
    <t>D+M - Návleková tepelná izolace PE tl. 20 mm + polep AL fólií na potrubí d 20-22 mm</t>
  </si>
  <si>
    <t>260</t>
  </si>
  <si>
    <t>722100304</t>
  </si>
  <si>
    <t>D+M - Návleková tepelná izolace PE tl. 25 mm + polep AL fólií na potrubí d 25-28 mm</t>
  </si>
  <si>
    <t>261</t>
  </si>
  <si>
    <t>722100401</t>
  </si>
  <si>
    <t>D+M - WC - Podomítkový montážní prvek pro závěsné WC, pro suchou výstavbu, splachovací nádržka pod omítku 12 cm</t>
  </si>
  <si>
    <t>262</t>
  </si>
  <si>
    <t>722100402</t>
  </si>
  <si>
    <t>D+M - WCi - Podomítkový montážní prvek pro závěsné WC, bezbariérový, pro podpěry, pro suchou výstavbu, splachovací nádržka pod omítku 12 cm</t>
  </si>
  <si>
    <t>263</t>
  </si>
  <si>
    <t>722100403</t>
  </si>
  <si>
    <t>D+M - U, Um, Ui - Elektronická baterie umyvadlová stojánková, směšovací s mixážní páčkou</t>
  </si>
  <si>
    <t>264</t>
  </si>
  <si>
    <t>722100404</t>
  </si>
  <si>
    <t>D+M - SK - Tlačná samouzavírací baterie sprchová směšovací do zdi a náklopná sprchová hlavice</t>
  </si>
  <si>
    <t>265</t>
  </si>
  <si>
    <t>722100405</t>
  </si>
  <si>
    <t>D+M - D - Příprava pro dodávku dřezu a baterie</t>
  </si>
  <si>
    <t>266</t>
  </si>
  <si>
    <t>722100406</t>
  </si>
  <si>
    <t>D+M - D2 - páková stojánková dřezová baterie s vytahovací sprškou, 2 proudy, nízký výtok. Chromová.</t>
  </si>
  <si>
    <t>267</t>
  </si>
  <si>
    <t>722100407</t>
  </si>
  <si>
    <t>D+M - Dd -  Příprava pro připojení dvojdřezu</t>
  </si>
  <si>
    <t>268</t>
  </si>
  <si>
    <t>722100408</t>
  </si>
  <si>
    <t>D+M - Dd2 - páková stojánková dřezová baterie se sprchou na mytí nádobí s vysokým výtokem</t>
  </si>
  <si>
    <t>269</t>
  </si>
  <si>
    <t>722100409</t>
  </si>
  <si>
    <t>D+M - VL - Nástěnná páková baterie a podomítkový instalační modul</t>
  </si>
  <si>
    <t>270</t>
  </si>
  <si>
    <t>722100410</t>
  </si>
  <si>
    <t>D+M - VL - Podomítkový montážní prvek pro výlevku, pro suchou výstavbu, se splachovací nádržkou pod omítku a nástěnná armatura na omítku</t>
  </si>
  <si>
    <t>271</t>
  </si>
  <si>
    <t>722100411</t>
  </si>
  <si>
    <t>D+M - Dv - Výtokový kulový kohout s vnějším závitem a hadicovou vývodkou  o 18mm</t>
  </si>
  <si>
    <t>272</t>
  </si>
  <si>
    <t>722100412</t>
  </si>
  <si>
    <t>D+M - M - Příprava pro připojení myčky nádobí - Výtokový ventil 1/2“, krycí deska 180x110mm</t>
  </si>
  <si>
    <t>273</t>
  </si>
  <si>
    <t>722100413</t>
  </si>
  <si>
    <t>D+M - MLS - 2x Výtokový ventil 1/2“, 2x krycí deska 180x110mm</t>
  </si>
  <si>
    <t>274</t>
  </si>
  <si>
    <t>722100414</t>
  </si>
  <si>
    <t>Ochranný zákryt - H - Stávající nástěnný hydrantový systém - dočasné zakrytí během stavby (netkaná textilie/EPS + OSB)</t>
  </si>
  <si>
    <t>275</t>
  </si>
  <si>
    <t>722100415</t>
  </si>
  <si>
    <t>D+M - UV - Příprava pro napojení úpravny vody - Uzavíraci ventil DN20 s vnějším závitem.DN20 na potrubí SV.</t>
  </si>
  <si>
    <t>276</t>
  </si>
  <si>
    <t>722100416</t>
  </si>
  <si>
    <t>D+M - PZ - Příprava pro připojení parního zvlhčovače</t>
  </si>
  <si>
    <t>277</t>
  </si>
  <si>
    <t>722100417</t>
  </si>
  <si>
    <t>D+M - Připojovací rohový regulační ventil s filtrem, chromovaná mosaz, sítko nerez, PN10, t = 90 °C, DN 15</t>
  </si>
  <si>
    <t>278</t>
  </si>
  <si>
    <t>722100418</t>
  </si>
  <si>
    <t>D+M - Propojovací nerezové opletené hadice osazených maticemi 3/8" x 1/2" k výtokovým armaturám</t>
  </si>
  <si>
    <t>279</t>
  </si>
  <si>
    <t>722100419</t>
  </si>
  <si>
    <t>D+M - Revizní dvířka do SDK, pod obklad - min.EI30 - min.150x300 mm (koordinovat se stavbou)</t>
  </si>
  <si>
    <t>280</t>
  </si>
  <si>
    <t>722100420</t>
  </si>
  <si>
    <t>D+M - Revizní dvířka do SDK, pod obklad - min.EI30 - min.300x300 mm (koordinovat se stavbou)</t>
  </si>
  <si>
    <t>281</t>
  </si>
  <si>
    <t>722100501</t>
  </si>
  <si>
    <t>D+M - KK - Kulový kohout, závitový, chromovaný, páka, DN 20</t>
  </si>
  <si>
    <t>282</t>
  </si>
  <si>
    <t>722100502</t>
  </si>
  <si>
    <t>D+M - KKv - Vypouštěcí kulový kohout s integrovaným těsněním, vnější závity, s hadicovou vývodkou a zátkou, ovládací krátká páčka - červená, max 10 ba</t>
  </si>
  <si>
    <t>283</t>
  </si>
  <si>
    <t>722100503</t>
  </si>
  <si>
    <t>284</t>
  </si>
  <si>
    <t>722100504</t>
  </si>
  <si>
    <t>D+M - Zpětná klapka s gumovým těsněním, mosazná, DN 20</t>
  </si>
  <si>
    <t>285</t>
  </si>
  <si>
    <t>722100505</t>
  </si>
  <si>
    <t>D+M - Termostatický ventil pro cirkulaci teplé vody s měřicí vsuvkou, DN 20</t>
  </si>
  <si>
    <t>286</t>
  </si>
  <si>
    <t>722100506</t>
  </si>
  <si>
    <t>D+M - Vyvažovací ventil s vypouštěním, DN 20</t>
  </si>
  <si>
    <t>287</t>
  </si>
  <si>
    <t>722100507</t>
  </si>
  <si>
    <t>D+M - Vodoměr na studenou vodu, DN 25, Q = 6,3 m3/h, t = 30 °C, L = 260 mm, včetně M-Bus modulu pro dálkový odečet</t>
  </si>
  <si>
    <t>288</t>
  </si>
  <si>
    <t>722100508</t>
  </si>
  <si>
    <t>D+M - Bezpečnostní objímky a plomby k vodoměru</t>
  </si>
  <si>
    <t>289</t>
  </si>
  <si>
    <t>722100509</t>
  </si>
  <si>
    <t>D+M - Zátka PPR, DN 25 (nová - slepá větev cirkulačního potrubí)</t>
  </si>
  <si>
    <t>290</t>
  </si>
  <si>
    <t>722100510</t>
  </si>
  <si>
    <t>D+M - Zátka PPR, DN 20 (* - neosazované zařizovací předměty)</t>
  </si>
  <si>
    <t>291</t>
  </si>
  <si>
    <t>722100601</t>
  </si>
  <si>
    <t>D+M - Požární utěsnění prostupu pro dvojic až pětici potrubí - min. EI 60-120 min</t>
  </si>
  <si>
    <t>292</t>
  </si>
  <si>
    <t>722100701</t>
  </si>
  <si>
    <t>Bourání prostupu nosnou stěnou a stropem pro dvojic až pětici potrubí do DN 80, včetně transportu suti a uložení na skládku + oprava, začištění omítky</t>
  </si>
  <si>
    <t>293</t>
  </si>
  <si>
    <t>722100702</t>
  </si>
  <si>
    <t>Bourání prostupu příčkou dvojic pro potrubí do DN 40, včetně transportu suti a uložení na skládku + oprava, začištění omítky, utěsnění prostupu a malb</t>
  </si>
  <si>
    <t>294</t>
  </si>
  <si>
    <t>722100703</t>
  </si>
  <si>
    <t>Drážka ve zdivu pro dvojic potrubí do DN 40, včetně transportu suti a uložení na skládku + oprava, začištění omítky, utěsnění prostupu a malba</t>
  </si>
  <si>
    <t>295</t>
  </si>
  <si>
    <t>722100704</t>
  </si>
  <si>
    <t>296</t>
  </si>
  <si>
    <t>722100801</t>
  </si>
  <si>
    <t>Vypuštění soustavy</t>
  </si>
  <si>
    <t>297</t>
  </si>
  <si>
    <t>722100802</t>
  </si>
  <si>
    <t>Napuštění soustavy</t>
  </si>
  <si>
    <t>298</t>
  </si>
  <si>
    <t>722100803</t>
  </si>
  <si>
    <t>Tlaková zkouška vnitřní potrubí do DN 80 - do 3000m</t>
  </si>
  <si>
    <t>299</t>
  </si>
  <si>
    <t>722100804</t>
  </si>
  <si>
    <t>Proplach a dezinfekce vodovodního potrubí do DN 80 - do 3000m</t>
  </si>
  <si>
    <t>300</t>
  </si>
  <si>
    <t>722100805</t>
  </si>
  <si>
    <t>Zkouška těsnosti vodovodního potrubí do DN 80 - do 3000m</t>
  </si>
  <si>
    <t>301</t>
  </si>
  <si>
    <t>722100806</t>
  </si>
  <si>
    <t>Montážní práce, inženýrské práce a kompletační práce systému měření vody</t>
  </si>
  <si>
    <t>302</t>
  </si>
  <si>
    <t>722100807</t>
  </si>
  <si>
    <t>Komplexní zkoušky a seřízení systému měření vody</t>
  </si>
  <si>
    <t>303</t>
  </si>
  <si>
    <t>722100808</t>
  </si>
  <si>
    <t>304</t>
  </si>
  <si>
    <t>722100809</t>
  </si>
  <si>
    <t>Zajištění funkčností ostatních pavilonů zásobování teplou vodou - přeložky a ostatní</t>
  </si>
  <si>
    <t>305</t>
  </si>
  <si>
    <t>722100810</t>
  </si>
  <si>
    <t>306</t>
  </si>
  <si>
    <t>722100811</t>
  </si>
  <si>
    <t>307</t>
  </si>
  <si>
    <t>722100812</t>
  </si>
  <si>
    <t>728</t>
  </si>
  <si>
    <t>Vzduchotechnika</t>
  </si>
  <si>
    <t>308</t>
  </si>
  <si>
    <t>728100101</t>
  </si>
  <si>
    <t>1.01 KONDENZAČNÍ JEDNOTKA- MODUL - dle popisu v PD</t>
  </si>
  <si>
    <t>728_</t>
  </si>
  <si>
    <t>309</t>
  </si>
  <si>
    <t>728100102</t>
  </si>
  <si>
    <t>1.05 NÁSTĚNNÁ JEDNOTKA  CHLAD 1,5KW, PŘÍKON 23W/230V</t>
  </si>
  <si>
    <t>310</t>
  </si>
  <si>
    <t>728100103</t>
  </si>
  <si>
    <t>1.06 NÁSTĚNNÁ JEDNOTKA  CHLAD 2,2KW, PŘÍKON 23W/230V</t>
  </si>
  <si>
    <t>311</t>
  </si>
  <si>
    <t>728100104</t>
  </si>
  <si>
    <t>1.08 NÁSTĚNNÁ JEDNOTKA CHLAD 3,6KW, PŘÍKON 23W/230V</t>
  </si>
  <si>
    <t>312</t>
  </si>
  <si>
    <t>728100105</t>
  </si>
  <si>
    <t>1.10 NÁSTĚNNÁ JEDNOTKA CHLAD 5,6KW, PŘÍKON 50W/230V</t>
  </si>
  <si>
    <t>313</t>
  </si>
  <si>
    <t>728100106</t>
  </si>
  <si>
    <t>1.11 NÁSTĚNNÁ JEDNOTKA CHLAD 7,1KW, PŘÍKON 50W/230V</t>
  </si>
  <si>
    <t>314</t>
  </si>
  <si>
    <t>728100107</t>
  </si>
  <si>
    <t>Příslušenství - ROZBOČOVAČ</t>
  </si>
  <si>
    <t>315</t>
  </si>
  <si>
    <t>728100108</t>
  </si>
  <si>
    <t>Příslušenství - OVLADAČE JEDNOTEK</t>
  </si>
  <si>
    <t>316</t>
  </si>
  <si>
    <t>728100109</t>
  </si>
  <si>
    <t>Příslušenství - CHLADIVO DOPLNĚNÍ</t>
  </si>
  <si>
    <t>kg</t>
  </si>
  <si>
    <t>317</t>
  </si>
  <si>
    <t>728100110</t>
  </si>
  <si>
    <t>Cu Potrubí včetně izolace a souvisejících medií v trase potrubí  6,35</t>
  </si>
  <si>
    <t>318</t>
  </si>
  <si>
    <t>728100111</t>
  </si>
  <si>
    <t>Cu Potrubí včetně izolace a souvisejících medií v trase potrubí  9,52</t>
  </si>
  <si>
    <t>319</t>
  </si>
  <si>
    <t>728100112</t>
  </si>
  <si>
    <t>Cu Potrubí včetně izolace a souvisejících medií v trase potrubí  12,7</t>
  </si>
  <si>
    <t>320</t>
  </si>
  <si>
    <t>728100113</t>
  </si>
  <si>
    <t>Cu Potrubí včetně izolace a souvisejících medií v trase potrubí  15,88</t>
  </si>
  <si>
    <t>321</t>
  </si>
  <si>
    <t>728100114</t>
  </si>
  <si>
    <t>Cu Potrubí včetně izolace a souvisejících medií v trase potrubí  19,05</t>
  </si>
  <si>
    <t>322</t>
  </si>
  <si>
    <t>728100115</t>
  </si>
  <si>
    <t>Cu Potrubí včetně izolace a souvisejících medií v trase potrubí  22,2</t>
  </si>
  <si>
    <t>323</t>
  </si>
  <si>
    <t>728100116</t>
  </si>
  <si>
    <t>Cu Potrubí včetně izolace a souvisejících medií v trase potrubí  28,58</t>
  </si>
  <si>
    <t>324</t>
  </si>
  <si>
    <t>728100117</t>
  </si>
  <si>
    <t>Cu Potrubí včetně izolace a souvisejících medií v trase potrubí  31,8</t>
  </si>
  <si>
    <t>325</t>
  </si>
  <si>
    <t>728100118</t>
  </si>
  <si>
    <t>Naprogramování, uvedení systému do provozu a provozní zkouška</t>
  </si>
  <si>
    <t>kpl</t>
  </si>
  <si>
    <t>326</t>
  </si>
  <si>
    <t>728100119</t>
  </si>
  <si>
    <t>Výchozí revize</t>
  </si>
  <si>
    <t>327</t>
  </si>
  <si>
    <t>728100120</t>
  </si>
  <si>
    <t>Průrazy stěnami - vrtání, začištění, nátěr</t>
  </si>
  <si>
    <t>328</t>
  </si>
  <si>
    <t>728100121</t>
  </si>
  <si>
    <t>plastová hadice DN6 - ODVOD KONDENZÁTU</t>
  </si>
  <si>
    <t>329</t>
  </si>
  <si>
    <t>728100122</t>
  </si>
  <si>
    <t>Doprava, režijní náklady</t>
  </si>
  <si>
    <t>330</t>
  </si>
  <si>
    <t>728100123</t>
  </si>
  <si>
    <t>331</t>
  </si>
  <si>
    <t>728100201</t>
  </si>
  <si>
    <t>2.01 VĚTRACÍ JEDNOTKA  KOMPAKTNÍ S HRDLY NAHOŘE -dle popisu v PD</t>
  </si>
  <si>
    <t>332</t>
  </si>
  <si>
    <t>728100202</t>
  </si>
  <si>
    <t>2.02 PARNÍ ZVLHČOVAČ S ELEKTRODOVÝM VYVÍJEČEM  4KG/HOD -dle popisu v PD</t>
  </si>
  <si>
    <t>333</t>
  </si>
  <si>
    <t>728100203</t>
  </si>
  <si>
    <t>Parní hadice 2 m, tryska do potrubí - příslušenství</t>
  </si>
  <si>
    <t>334</t>
  </si>
  <si>
    <t>728100204</t>
  </si>
  <si>
    <t>2.05 Požární klapka kruhová se servopohonem a zpětným chodem 5W/230V D 200mm</t>
  </si>
  <si>
    <t>335</t>
  </si>
  <si>
    <t>728100205</t>
  </si>
  <si>
    <t>2.06 Ohebná hliníková hadice D203  zvukově izol.hadice</t>
  </si>
  <si>
    <t>336</t>
  </si>
  <si>
    <t>728100206</t>
  </si>
  <si>
    <t>2.07 Tlumič hluku kruhový DN200 / 1000</t>
  </si>
  <si>
    <t>337</t>
  </si>
  <si>
    <t>728100207</t>
  </si>
  <si>
    <t>2.08 Buňkový tlumič hluku  200x500x2000 . 1 náběhy na obou koncích tlumiče, s děr.plechem, hyg.provedení</t>
  </si>
  <si>
    <t>338</t>
  </si>
  <si>
    <t>728100208</t>
  </si>
  <si>
    <t>2.09 Požární klapka čtyřhranná se servopohonem a zpětným chodem 250x200</t>
  </si>
  <si>
    <t>339</t>
  </si>
  <si>
    <t>728100209</t>
  </si>
  <si>
    <t>2.10 Talířový ventil plech.bíle lakovaný D 125 odvodní</t>
  </si>
  <si>
    <t>340</t>
  </si>
  <si>
    <t>728100210</t>
  </si>
  <si>
    <t>2.11 Talířový ventil plech.bíle lakovaný D 160 odvodní</t>
  </si>
  <si>
    <t>341</t>
  </si>
  <si>
    <t>728100211</t>
  </si>
  <si>
    <t>2.12 VH 200  výfuková hlavice</t>
  </si>
  <si>
    <t>342</t>
  </si>
  <si>
    <t>728100212</t>
  </si>
  <si>
    <t>2.13 Talířový ventil plech.bíle lakovaný D 125 přívodní</t>
  </si>
  <si>
    <t>343</t>
  </si>
  <si>
    <t>728100213</t>
  </si>
  <si>
    <t>2.16 Výustka nastavitelná s regulací 225x80 2/R1</t>
  </si>
  <si>
    <t>344</t>
  </si>
  <si>
    <t>728100214</t>
  </si>
  <si>
    <t>2.17 Protipožární izolace potrubí dle popisu v PD tl. 60 mm odolnost 30 min</t>
  </si>
  <si>
    <t>345</t>
  </si>
  <si>
    <t>728100215</t>
  </si>
  <si>
    <t>2.18 Tepelná izolace potrubí tl 40mm</t>
  </si>
  <si>
    <t>346</t>
  </si>
  <si>
    <t>728100301</t>
  </si>
  <si>
    <t>3.01 VĚTRACÍ JEDNOTKA   VČETNĚ PŘÍSLUŠENSTVÍ -dle popisu v PD</t>
  </si>
  <si>
    <t>347</t>
  </si>
  <si>
    <t>728100302</t>
  </si>
  <si>
    <t>3.02 Tepelná izolace potrubí dle popisu v PD tl 40mm</t>
  </si>
  <si>
    <t>348</t>
  </si>
  <si>
    <t>728100303</t>
  </si>
  <si>
    <t>3.03 Protipožární izolace potrubí dle popisu v PD tl. 60 mm odolnost 30 min</t>
  </si>
  <si>
    <t>349</t>
  </si>
  <si>
    <t>728100304</t>
  </si>
  <si>
    <t>3.04 Požární klapka čtyřhranná se servopohonem a zpětným chodem 400x400</t>
  </si>
  <si>
    <t>350</t>
  </si>
  <si>
    <t>728100305</t>
  </si>
  <si>
    <t>3.05 Požární klapka čtyřhranná se servopohonem a zpětným chodem 250x500</t>
  </si>
  <si>
    <t>351</t>
  </si>
  <si>
    <t>728100306</t>
  </si>
  <si>
    <t>3.05 Tepelná izolace potrubí dle popisu v PD tl 40mm</t>
  </si>
  <si>
    <t>352</t>
  </si>
  <si>
    <t>728100307</t>
  </si>
  <si>
    <t>3.06 Protipožární izolace potrubí dle popisu v PD tl. 60 mm odolnost 30 min</t>
  </si>
  <si>
    <t>353</t>
  </si>
  <si>
    <t>728100401</t>
  </si>
  <si>
    <t>4.01 VĚTRACÍ JEDNOTKA  KOMPAKTNÍ S HRDLY NAHOŘE -dle popisu v PD</t>
  </si>
  <si>
    <t>354</t>
  </si>
  <si>
    <t>728100402</t>
  </si>
  <si>
    <t>4.05 Požární klapka kruhová se servopohonem a zpětným chodem D 200 mm</t>
  </si>
  <si>
    <t>355</t>
  </si>
  <si>
    <t>728100403</t>
  </si>
  <si>
    <t>4.06 Ohebná hliníková hadice D203  zvukově izol.hadice</t>
  </si>
  <si>
    <t>356</t>
  </si>
  <si>
    <t>728100404</t>
  </si>
  <si>
    <t>4.07 Tlumič hluku kruhový DN200 / 1000</t>
  </si>
  <si>
    <t>357</t>
  </si>
  <si>
    <t>728100405</t>
  </si>
  <si>
    <t>4.10 Talířový ventil plech.bíle lakovaný D 125 odvodní</t>
  </si>
  <si>
    <t>358</t>
  </si>
  <si>
    <t>728100406</t>
  </si>
  <si>
    <t>4.11 Talířový ventil plech.bíle lakovaný D 160 odvodní</t>
  </si>
  <si>
    <t>359</t>
  </si>
  <si>
    <t>728100407</t>
  </si>
  <si>
    <t>4.12 VH 200  výfuková hlavice</t>
  </si>
  <si>
    <t>360</t>
  </si>
  <si>
    <t>728100408</t>
  </si>
  <si>
    <t>4.13 Talířový ventil plech.bíle lakovaný D 125 přívodní</t>
  </si>
  <si>
    <t>361</t>
  </si>
  <si>
    <t>728100409</t>
  </si>
  <si>
    <t>4.14 Talířový ventil plech.bíle lakovaný D 160 přívodní</t>
  </si>
  <si>
    <t>362</t>
  </si>
  <si>
    <t>728100410</t>
  </si>
  <si>
    <t>4.15 Protipožární izolace potrubí dle popisu v PD tl. 60 mm odolnost 30 min</t>
  </si>
  <si>
    <t>363</t>
  </si>
  <si>
    <t>728100501</t>
  </si>
  <si>
    <t>Demontáž původní vzt jednotky zařízení 3 cca 500kg</t>
  </si>
  <si>
    <t>364</t>
  </si>
  <si>
    <t>728100502</t>
  </si>
  <si>
    <t>Demontáž potrubí ve strojovně včetně pož. klapek</t>
  </si>
  <si>
    <t>365</t>
  </si>
  <si>
    <t>728100503</t>
  </si>
  <si>
    <t>Demontáž potrubí v půdním prostoru D100-250mm</t>
  </si>
  <si>
    <t>366</t>
  </si>
  <si>
    <t>728100601</t>
  </si>
  <si>
    <t>Čtyřhranné potrubí skup.I pozin.plech do obvodu 650 30% tvarovek</t>
  </si>
  <si>
    <t>367</t>
  </si>
  <si>
    <t>728100602</t>
  </si>
  <si>
    <t>Čtyřhranné potrubí skup.I pozin.plech do obvodu 1050 10% tvarovek</t>
  </si>
  <si>
    <t>368</t>
  </si>
  <si>
    <t>728100603</t>
  </si>
  <si>
    <t>Čtyřhranné potrubí skup.I pozin.plech do obvodu 1500 20% tvarovek</t>
  </si>
  <si>
    <t>369</t>
  </si>
  <si>
    <t>728100604</t>
  </si>
  <si>
    <t>Čtyřhranné potrubí skup.I pozin.plech do obvodu 1890 50% tvarovek</t>
  </si>
  <si>
    <t>370</t>
  </si>
  <si>
    <t>728100605</t>
  </si>
  <si>
    <t>Čtyřhranné potrubí skup.I pozin.plech do obvodu 2630 50% tvarovek</t>
  </si>
  <si>
    <t>371</t>
  </si>
  <si>
    <t>728100606</t>
  </si>
  <si>
    <t>Kruihové potrubí SPIRO do průměru 140 10% tvarovek</t>
  </si>
  <si>
    <t>372</t>
  </si>
  <si>
    <t>728100607</t>
  </si>
  <si>
    <t>Kruihové potrubí SPIRO do průměru 200 20% tvarovek</t>
  </si>
  <si>
    <t>373</t>
  </si>
  <si>
    <t>728100608</t>
  </si>
  <si>
    <t>Kruihové potrubí SPIRO do průměru 280 20% tvarovek</t>
  </si>
  <si>
    <t>374</t>
  </si>
  <si>
    <t>728100609</t>
  </si>
  <si>
    <t>Montážní a spojovací materiál</t>
  </si>
  <si>
    <t>375</t>
  </si>
  <si>
    <t>728100701</t>
  </si>
  <si>
    <t>Doprava 3,60 % z dodávky zařízení</t>
  </si>
  <si>
    <t>376</t>
  </si>
  <si>
    <t>728100702</t>
  </si>
  <si>
    <t>Přesun 0,60/kg</t>
  </si>
  <si>
    <t>377</t>
  </si>
  <si>
    <t>728100703</t>
  </si>
  <si>
    <t>PPV 5,0 % z montáže a nátěrů zařízení</t>
  </si>
  <si>
    <t>378</t>
  </si>
  <si>
    <t>728100704</t>
  </si>
  <si>
    <t>Zednické výpomoci 1,60 % z montáže a nátěrů zařízení</t>
  </si>
  <si>
    <t>731</t>
  </si>
  <si>
    <t>Kotelny</t>
  </si>
  <si>
    <t>379</t>
  </si>
  <si>
    <t>731100101</t>
  </si>
  <si>
    <t>Demontáž - Stávající ocelové potrubí do DN 100, včetně konzol, tepelných izolací a připojovacích armatur</t>
  </si>
  <si>
    <t>731_</t>
  </si>
  <si>
    <t>73_</t>
  </si>
  <si>
    <t>380</t>
  </si>
  <si>
    <t>731100102</t>
  </si>
  <si>
    <t>Demontáž - Stávající ocelové trubkové žebrové otopné těleso - odstranit bez náhrady, vč. armatur v interiéru 4NP a připojovacího potrubí</t>
  </si>
  <si>
    <t>381</t>
  </si>
  <si>
    <t>731100201</t>
  </si>
  <si>
    <t>D+M - Potrubí Oc 18,0x1,2 mm</t>
  </si>
  <si>
    <t>382</t>
  </si>
  <si>
    <t>731100301</t>
  </si>
  <si>
    <t>D+M - Izolace MV tl. 40 mm + polep ALS fólií na potrubí 18 mm</t>
  </si>
  <si>
    <t>383</t>
  </si>
  <si>
    <t>731100302</t>
  </si>
  <si>
    <t>D+M - Návleková tepelná izolace PE tl. 20 mm + polep AL fólií na potrubí d 18 mm</t>
  </si>
  <si>
    <t>384</t>
  </si>
  <si>
    <t>731100401</t>
  </si>
  <si>
    <t>D+M - Trubkové otopné těleso 445.1220 - KRMM (Bílá RAL 9010)</t>
  </si>
  <si>
    <t>385</t>
  </si>
  <si>
    <t>731100402</t>
  </si>
  <si>
    <t>D+M - Otopné těleso deskové 22 - 6080 - (Bílá RAL 9010)</t>
  </si>
  <si>
    <t>386</t>
  </si>
  <si>
    <t>731100403</t>
  </si>
  <si>
    <t>D+M - Otopné těleso deskové 22 - 6090 - (Bílá RAL 9010)</t>
  </si>
  <si>
    <t>387</t>
  </si>
  <si>
    <t>731100404</t>
  </si>
  <si>
    <t>D+M - Otopné těleso deskové 33 - 6080 - (Bílá RAL 9010)</t>
  </si>
  <si>
    <t>388</t>
  </si>
  <si>
    <t>731100405</t>
  </si>
  <si>
    <t>D+M - Otopné těleso deskové 33 - 6100 - (Bílá RAL 9010)</t>
  </si>
  <si>
    <t>389</t>
  </si>
  <si>
    <t>731100406</t>
  </si>
  <si>
    <t>D+M - Otopné těleso deskové 33 - 6110 - (Bílá RAL 9010)</t>
  </si>
  <si>
    <t>390</t>
  </si>
  <si>
    <t>731100407</t>
  </si>
  <si>
    <t>D+M - Otopné těleso deskové 33 - 9040 - V (Bílá RAL 9010)</t>
  </si>
  <si>
    <t>391</t>
  </si>
  <si>
    <t>731100408</t>
  </si>
  <si>
    <t>D+M - Otopné těleso deskové 33 - 9050 - V (Bílá RAL 9010)</t>
  </si>
  <si>
    <t>392</t>
  </si>
  <si>
    <t>731100409</t>
  </si>
  <si>
    <t>D+M - Otopné těleso deskové 33 - 9060 - V (Bílá RAL 9010)</t>
  </si>
  <si>
    <t>393</t>
  </si>
  <si>
    <t>731100410</t>
  </si>
  <si>
    <t>D+M - Otopné těleso deskové 33 - 9090 - V (Bílá RAL 9010)</t>
  </si>
  <si>
    <t>394</t>
  </si>
  <si>
    <t>731100411</t>
  </si>
  <si>
    <t>D+M - Otopné těleso deskové 30 - 6100 - H (Bílá RAL 9010)</t>
  </si>
  <si>
    <t>395</t>
  </si>
  <si>
    <t>731100412</t>
  </si>
  <si>
    <t>D+M - Otopné těleso deskové 30 - 6120 - H (Bílá RAL 9010)</t>
  </si>
  <si>
    <t>396</t>
  </si>
  <si>
    <t>731100413</t>
  </si>
  <si>
    <t>D+M - Otopné těleso deskové 30 - 6160 - H (Bílá RAL 9010)</t>
  </si>
  <si>
    <t>397</t>
  </si>
  <si>
    <t>731100414</t>
  </si>
  <si>
    <t>D+M - Otopné těleso deskové 30 - 6180 - H (Bílá RAL 9010)</t>
  </si>
  <si>
    <t>398</t>
  </si>
  <si>
    <t>731100415</t>
  </si>
  <si>
    <t>D+M - Otopné těleso deskové 30 - 6200 - H (Bílá RAL 9010)</t>
  </si>
  <si>
    <t>399</t>
  </si>
  <si>
    <t>731100416</t>
  </si>
  <si>
    <t>D+M - Otopné těleso deskové 30 - 7080 - H (Bílá RAL 9010)</t>
  </si>
  <si>
    <t>400</t>
  </si>
  <si>
    <t>731100426</t>
  </si>
  <si>
    <t>D+M - Otopné těleso deskové 30 - 6140 - H (Bílá RAL 9010)</t>
  </si>
  <si>
    <t>401</t>
  </si>
  <si>
    <t>731100427</t>
  </si>
  <si>
    <t>D+M - Otopné těleso deskové 30 - 6110 - H (Bílá RAL 9010)</t>
  </si>
  <si>
    <t>402</t>
  </si>
  <si>
    <t>731100417</t>
  </si>
  <si>
    <t>D+M - Upevňovací sada O24/35 - chrom  (4 ks), včetně vrutů a hmoždinek</t>
  </si>
  <si>
    <t>403</t>
  </si>
  <si>
    <t>731100418</t>
  </si>
  <si>
    <t>D+M - Sada navrtávacích konzol 18/120 (6 ks), včetně vrutů a hmoždinek</t>
  </si>
  <si>
    <t>404</t>
  </si>
  <si>
    <t>731100419</t>
  </si>
  <si>
    <t>D+M - TRV - Připojovací armatura radiátorů rohová niklovaná, pro tělesa s integrovanými ventily, pro dvoutrubkovou soustavu, dvě regulační šroubení s</t>
  </si>
  <si>
    <t>405</t>
  </si>
  <si>
    <t>731100420</t>
  </si>
  <si>
    <t>D+M - HM - Integrovaná armatura rohová pro trubková otopná tělesa a pro dvoutrubkovou otopnou soustavu</t>
  </si>
  <si>
    <t>406</t>
  </si>
  <si>
    <t>731100421</t>
  </si>
  <si>
    <t>D+M - TH - Termostatická hlavice s připojením M30x1,5 v barvě chromu, integrované čidlo, pro tělesa s integrovaným termostatickým ventilem</t>
  </si>
  <si>
    <t>407</t>
  </si>
  <si>
    <t>731100422</t>
  </si>
  <si>
    <t>D+M - TH - Termostatická hlavice s připojením M30x1,5 v barvě chromu, integrované čidlo, pro tělesa s integrovaným termostatickým ventilem, pro veřejn</t>
  </si>
  <si>
    <t>408</t>
  </si>
  <si>
    <t>731100423</t>
  </si>
  <si>
    <t>D+M - OV - Odvzdušňovací radiátorový ventil, nikl, s těsněním DN 15 (1/2")</t>
  </si>
  <si>
    <t>409</t>
  </si>
  <si>
    <t>731100424</t>
  </si>
  <si>
    <t>D+M - Klíček k odvzdušňovacímu radiátorovému ventilu</t>
  </si>
  <si>
    <t>410</t>
  </si>
  <si>
    <t>731100425</t>
  </si>
  <si>
    <t>D+M - Vyregulování ventilů s termostatickým ovládáním</t>
  </si>
  <si>
    <t>411</t>
  </si>
  <si>
    <t>731100501</t>
  </si>
  <si>
    <t>D+M - Vypouštěcí kulový kohout s integrovaným těsněním, vnější závity, s hadicovou vývodkou a zátkou, ovládací krátká páčka - červená, max 10 bar, max</t>
  </si>
  <si>
    <t>412</t>
  </si>
  <si>
    <t>731100502</t>
  </si>
  <si>
    <t>D+M - Teploměr s mosaznou zadní jímkou délky 150 mm, bimetalový, t = 0 až 120 °C, O 100 mm (VZT1)</t>
  </si>
  <si>
    <t>413</t>
  </si>
  <si>
    <t>731100503</t>
  </si>
  <si>
    <t>D+M - Manometr axiální (tlakoměr) s jímkou L 100 mm, 0-6 Bar, O 63 mm, vč. tlakoměrného kohoutu (VZT1)</t>
  </si>
  <si>
    <t>414</t>
  </si>
  <si>
    <t>731100504</t>
  </si>
  <si>
    <t>D+M - Automatický odvzdušňovací ventil se zpětnou klapkou, t = 110 °C, PN10, mosaz, DN 15</t>
  </si>
  <si>
    <t>415</t>
  </si>
  <si>
    <t>731100505</t>
  </si>
  <si>
    <t>D+M - Odvzdušňovací nádobka</t>
  </si>
  <si>
    <t>416</t>
  </si>
  <si>
    <t>731100506</t>
  </si>
  <si>
    <t>M - Směšovací ventil čtyřcestný DN 25, mosaz, kvs 12 m3/h, vnitřní závit, včetně servopohonu 5 Nm, 24 VAC, 24 VAC, 0-10 V (VZT)</t>
  </si>
  <si>
    <t>417</t>
  </si>
  <si>
    <t>731100507</t>
  </si>
  <si>
    <t>D+M - Zátka DN 15</t>
  </si>
  <si>
    <t>418</t>
  </si>
  <si>
    <t>731100508</t>
  </si>
  <si>
    <t>D+M - RDT - Regulátor tlakové diference, uzavírání a plynulé nastavení - t = 120 °C, PN16, DN 15</t>
  </si>
  <si>
    <t>419</t>
  </si>
  <si>
    <t>731100509</t>
  </si>
  <si>
    <t>D+M - VV - Vyvažovací ventil s dvojitě jištěné měřící vsuvky - t = 150 °C, PN20, DN 15 *(montáž viz pozn)</t>
  </si>
  <si>
    <t>420</t>
  </si>
  <si>
    <t>731100601</t>
  </si>
  <si>
    <t>D+M - OČ 1 - Úsporné elektronické oběhové čerpadlo 20/6 - 180 mm, PN 16 (VZT1)</t>
  </si>
  <si>
    <t>421</t>
  </si>
  <si>
    <t>731100602</t>
  </si>
  <si>
    <t>D+M - Přepojení VZT Jednotky, vč. revize zařízení (OČ, čidla) a uvedení do provozu (koordinace s VZT)</t>
  </si>
  <si>
    <t>422</t>
  </si>
  <si>
    <t>731100701</t>
  </si>
  <si>
    <t>Vyregulování otopné soustavy - projekční práce</t>
  </si>
  <si>
    <t>423</t>
  </si>
  <si>
    <t>731100702</t>
  </si>
  <si>
    <t>Vyregulování otopné soustavy - montážní práce, včetně tlakových zkoušek a revizí</t>
  </si>
  <si>
    <t>424</t>
  </si>
  <si>
    <t>731100703</t>
  </si>
  <si>
    <t>Vyvážení všech seřizovacích armatur, včetně tlakových zkoušek a revizí</t>
  </si>
  <si>
    <t>425</t>
  </si>
  <si>
    <t>731100801</t>
  </si>
  <si>
    <t>Bourání prostupu nosnou stěnou a stropem dvojic pro potrubí do DN 40, včetně transportu suti a uložení na skládku + oprava, začištění omítky, utěsnění</t>
  </si>
  <si>
    <t>426</t>
  </si>
  <si>
    <t>731100802</t>
  </si>
  <si>
    <t>427</t>
  </si>
  <si>
    <t>731100803</t>
  </si>
  <si>
    <t>Drážka ve zdivu pro dvojci potrubí do DN 40, včetně transportu suti a uložení na skládku + oprava, začištění omítky, utěsnění prostupu a malba</t>
  </si>
  <si>
    <t>428</t>
  </si>
  <si>
    <t>731100804</t>
  </si>
  <si>
    <t>429</t>
  </si>
  <si>
    <t>731100805</t>
  </si>
  <si>
    <t>Větrací mřížky do nábytku. Mřížka, eloxovaný hliník do rozměru, 150x1800mm (pozice viz PD - #)</t>
  </si>
  <si>
    <t>430</t>
  </si>
  <si>
    <t>731100901</t>
  </si>
  <si>
    <t>Topná zkouška celého zařízení 72 hodin</t>
  </si>
  <si>
    <t>431</t>
  </si>
  <si>
    <t>731100902</t>
  </si>
  <si>
    <t>Tlaková zkouška celého zařízení</t>
  </si>
  <si>
    <t>432</t>
  </si>
  <si>
    <t>731100903</t>
  </si>
  <si>
    <t>Vypuštění otopné soustavy</t>
  </si>
  <si>
    <t>433</t>
  </si>
  <si>
    <t>731100904</t>
  </si>
  <si>
    <t>Napuštění otopné soustavy</t>
  </si>
  <si>
    <t>434</t>
  </si>
  <si>
    <t>731100905</t>
  </si>
  <si>
    <t>D+M - Orientační štítky a značení potrubí barevnými pruhy, orientačními štítky a popisky</t>
  </si>
  <si>
    <t>435</t>
  </si>
  <si>
    <t>731100906</t>
  </si>
  <si>
    <t>Proplach soustavy</t>
  </si>
  <si>
    <t>436</t>
  </si>
  <si>
    <t>731100907</t>
  </si>
  <si>
    <t>437</t>
  </si>
  <si>
    <t>731100908</t>
  </si>
  <si>
    <t>438</t>
  </si>
  <si>
    <t>731100909</t>
  </si>
  <si>
    <t>439</t>
  </si>
  <si>
    <t>731100910</t>
  </si>
  <si>
    <t>762</t>
  </si>
  <si>
    <t>Konstrukce tesařské</t>
  </si>
  <si>
    <t>440</t>
  </si>
  <si>
    <t>762342214RT3</t>
  </si>
  <si>
    <t>Montáž latí , včetně dodávky impreg.latě 50 x 30 mm -skladba STR01, bod 5</t>
  </si>
  <si>
    <t>762_</t>
  </si>
  <si>
    <t>76_</t>
  </si>
  <si>
    <t>441</t>
  </si>
  <si>
    <t>762521819R00</t>
  </si>
  <si>
    <t>Odstranění dřevěného roštu nad podhledem - skladba STR01, bod 5</t>
  </si>
  <si>
    <t>442</t>
  </si>
  <si>
    <t>998762103R00</t>
  </si>
  <si>
    <t>Přesun hmot pro tesařské konstrukce, výšky do 24 m</t>
  </si>
  <si>
    <t>764</t>
  </si>
  <si>
    <t>Konstrukce klempířské</t>
  </si>
  <si>
    <t>443</t>
  </si>
  <si>
    <t>764410491R00</t>
  </si>
  <si>
    <t>Montáž oplechování parapetů Al, ozn.K01</t>
  </si>
  <si>
    <t>764_</t>
  </si>
  <si>
    <t>444</t>
  </si>
  <si>
    <t>553420542</t>
  </si>
  <si>
    <t>Parapet vnější tažený Al š. 260 (250) mm tl.1,2-2,4mm, vč.bočních lišt -dle popisu v PD, ozn.K01</t>
  </si>
  <si>
    <t>445</t>
  </si>
  <si>
    <t>764410850RT1</t>
  </si>
  <si>
    <t>Demontáž oplechování parapetů,rš od 100 do 330 mm, vč.ekolog.likvidace na skládce</t>
  </si>
  <si>
    <t>446</t>
  </si>
  <si>
    <t>998764103R00</t>
  </si>
  <si>
    <t>Přesun hmot pro klempířské konstr., výšky do 24 m</t>
  </si>
  <si>
    <t>766</t>
  </si>
  <si>
    <t>Konstrukce truhlářské</t>
  </si>
  <si>
    <t>447</t>
  </si>
  <si>
    <t>766601211RT3</t>
  </si>
  <si>
    <t>Těsnění okenní spáry, ostění, PT fólie+ PP páska, folie š.100 mm, páska tl. 6 mm, š. 20 mm, ozn.O01</t>
  </si>
  <si>
    <t>766_</t>
  </si>
  <si>
    <t>448</t>
  </si>
  <si>
    <t>766601229RT3</t>
  </si>
  <si>
    <t>Těsnění oken.spáry,parapet,PT folie+PP folie+páska, PT folie š.100 mm; PP folie š.100 mm+páska tl.6 mm, ozn.O01</t>
  </si>
  <si>
    <t>449</t>
  </si>
  <si>
    <t>766624056R00</t>
  </si>
  <si>
    <t>Montáž skládacích schodů protipožárních -provedení dle PD, ozn.OV05</t>
  </si>
  <si>
    <t>450</t>
  </si>
  <si>
    <t>61250026.1</t>
  </si>
  <si>
    <t>Schody skládací dřevěné EW30-DP3 140x70 cm</t>
  </si>
  <si>
    <t>451</t>
  </si>
  <si>
    <t>766629302R00</t>
  </si>
  <si>
    <t>Montáž oken plastových plochy do 2,70 m2, ozn.O01</t>
  </si>
  <si>
    <t>452</t>
  </si>
  <si>
    <t>61143071.1</t>
  </si>
  <si>
    <t>Okno plastové jednodílné 150 x 165 cm O, b.bílá -dle popisu v PD, ozn.O01</t>
  </si>
  <si>
    <t>453</t>
  </si>
  <si>
    <t>766629302RT1</t>
  </si>
  <si>
    <t>Montáž oken plastových plochy do 2,70 m2, vč.dodávky okna 1500/1650mm -úplné provedení dle popisu v PD</t>
  </si>
  <si>
    <t>454</t>
  </si>
  <si>
    <t>766661112R01</t>
  </si>
  <si>
    <t xml:space="preserve">Montáž dveří do zárubně,otevíravých 1kř.do 0,8 m, vč.osazení zárubně	</t>
  </si>
  <si>
    <t>455</t>
  </si>
  <si>
    <t>61160120.1</t>
  </si>
  <si>
    <t>Dveře vnitřní CPL plné 1kř.800x1970 mm, vč.kování, zárubně a povrch.úpravy -provedení dle popisu v PD, ozn.D01</t>
  </si>
  <si>
    <t>456</t>
  </si>
  <si>
    <t>61160120.5</t>
  </si>
  <si>
    <t>Dveře vnitřní CPL plné 1kř.800x1970 mm, vč.kování, zárubně a povrch.úpravy -provedení dle popisu v PD, ozn.D11</t>
  </si>
  <si>
    <t>457</t>
  </si>
  <si>
    <t>61160120.6</t>
  </si>
  <si>
    <t>Dveře vnitřní CPL plné 1kř.800x1970 mm, vč.kování, zárubně a povrch.úpravy -provedení dle popisu v PD, ozn.D12</t>
  </si>
  <si>
    <t>458</t>
  </si>
  <si>
    <t>61160120.8</t>
  </si>
  <si>
    <t>Dveře vnitřní CPL plné 1kř.800x1970 mm, vč.kování, zárubně a povrch.úpravy -provedení dle popisu v PD, ozn.D14</t>
  </si>
  <si>
    <t>459</t>
  </si>
  <si>
    <t>61160120.4</t>
  </si>
  <si>
    <t>Dveře vnitřní CPL plné 1kř.700x1970 mm, vč.kování, zárubně a povrch.úpravy -provedení dle popisu v PD, ozn.D05</t>
  </si>
  <si>
    <t>460</t>
  </si>
  <si>
    <t>61160120.9</t>
  </si>
  <si>
    <t>Dveře vnitřní CPL plné 1kř.700x1970 mm, vč.kování, zárubně a povrch.úpravy -provedení dle popisu v PD, ozn.D15</t>
  </si>
  <si>
    <t>461</t>
  </si>
  <si>
    <t>766661122R01</t>
  </si>
  <si>
    <t>Montáž dveří do zárubně,otevíravých 1kř.nad 0,8 m, vč.osazení zárubně</t>
  </si>
  <si>
    <t>462</t>
  </si>
  <si>
    <t>61160120.2</t>
  </si>
  <si>
    <t>Dveře vnitřní CPL plné 1kř.1100x1970 mm, vč.kování, zárubně a povrch.úpravy -provedení dle popisu v PD, ozn.D03</t>
  </si>
  <si>
    <t>463</t>
  </si>
  <si>
    <t>61160120.3</t>
  </si>
  <si>
    <t>Dveře vnitřní CPL plné 1kř.900x1970 mm, vč.kování, zárubně a povrch.úpravy -provedení dle popisu v PD, ozn.D04</t>
  </si>
  <si>
    <t>464</t>
  </si>
  <si>
    <t>61160120.7</t>
  </si>
  <si>
    <t>Dveře vnitřní CPL plné 1kř.900x1970 mm, vč.kování, zárubně a povrch.úpravy -provedení dle popisu v PD, ozn.D13</t>
  </si>
  <si>
    <t>465</t>
  </si>
  <si>
    <t>766661422R00</t>
  </si>
  <si>
    <t>Montáž dveří protipožárních 1kříd. nad 80 cm</t>
  </si>
  <si>
    <t>466</t>
  </si>
  <si>
    <t>61165610.1</t>
  </si>
  <si>
    <t>Dveře protipožární EW30-DP3-C2 plné 1100x1970 mm, vč.kování, zárubně a povrch.úpravy -provedení dle popisu v PD, ozn.PD02</t>
  </si>
  <si>
    <t>467</t>
  </si>
  <si>
    <t>766666112R00</t>
  </si>
  <si>
    <t>Montáž dveří posuvných, osazení závěsu, 1kř.</t>
  </si>
  <si>
    <t>468</t>
  </si>
  <si>
    <t>6116850.1</t>
  </si>
  <si>
    <t>Dveře posuvné 1kř.700x2100mm, vč.pouzdra, kování,fotobuňky a povrch.úpravy -provedení dle PD, ozn.D07</t>
  </si>
  <si>
    <t>469</t>
  </si>
  <si>
    <t>6116850.2</t>
  </si>
  <si>
    <t>Dveře posuvné 1kř.900x2100mm, vč.pouzdra, kování,fotobuňky a povrch.úpravy -provedení dle PD, ozn.D08</t>
  </si>
  <si>
    <t>470</t>
  </si>
  <si>
    <t>6116850.3</t>
  </si>
  <si>
    <t>Dveře posuvné 1kř.800x2100mm, na stěnu, vč.kování, povrch.úpravy -provedení dle PD, ozn.D16</t>
  </si>
  <si>
    <t>471</t>
  </si>
  <si>
    <t>766666114R00</t>
  </si>
  <si>
    <t>Montáž dveří posuvných, osazení závěsu, 2kř.</t>
  </si>
  <si>
    <t>472</t>
  </si>
  <si>
    <t>6116950.1</t>
  </si>
  <si>
    <t>Dveře posuvné 2kř.1250x2100mm, vč.pouzdra, kování,fotobuňky a povrch.úpravy -provedení dle PD, ozn.D09</t>
  </si>
  <si>
    <t>473</t>
  </si>
  <si>
    <t>766669192RT1</t>
  </si>
  <si>
    <t xml:space="preserve">M+D Regulovatelná dveřní zarážka	</t>
  </si>
  <si>
    <t>474</t>
  </si>
  <si>
    <t>766669194RT1</t>
  </si>
  <si>
    <t>M+D Systém generálního klíče</t>
  </si>
  <si>
    <t>475</t>
  </si>
  <si>
    <t>766812116RT1</t>
  </si>
  <si>
    <t>M+D Kuchyňská linka dl.1850 mm, provedení dle popisu v PD -dle výběru investora, ozn.OV04</t>
  </si>
  <si>
    <t>476</t>
  </si>
  <si>
    <t>998766103R00</t>
  </si>
  <si>
    <t>Přesun hmot pro truhlářské konstr., výšky do 24 m</t>
  </si>
  <si>
    <t>767</t>
  </si>
  <si>
    <t>Konstrukce doplňkové stavební (zámečnické)</t>
  </si>
  <si>
    <t>477</t>
  </si>
  <si>
    <t>767582810RT1</t>
  </si>
  <si>
    <t>Demontáž pomocné ocel.lávky, vč.ekolog.likvidace na skládce -dle pozn.18</t>
  </si>
  <si>
    <t>767_</t>
  </si>
  <si>
    <t>478</t>
  </si>
  <si>
    <t>767587211RT1</t>
  </si>
  <si>
    <t>Podhled rastrový, akust.omyv.kazety dle popisu v PD</t>
  </si>
  <si>
    <t>479</t>
  </si>
  <si>
    <t>767587911RT1</t>
  </si>
  <si>
    <t>Okastlíkování svítidel s ohledem na požární odolnost, ozn.OV07</t>
  </si>
  <si>
    <t>480</t>
  </si>
  <si>
    <t>767641110RT1</t>
  </si>
  <si>
    <t>M+D Dveře posuvné 800/2100mm -úplné provedení dle popisu v PD, ozn.D02</t>
  </si>
  <si>
    <t>481</t>
  </si>
  <si>
    <t>767641110RT2</t>
  </si>
  <si>
    <t>M+D Dveře otočné+nadsv.2kř.1500/2500mm -úplné provedení dle popisu v PD, ozn.D06</t>
  </si>
  <si>
    <t>482</t>
  </si>
  <si>
    <t>767641110RT3</t>
  </si>
  <si>
    <t>M+D Dveře otočné+nadsv.2kř.1400/2500mm -úplné provedení dle popisu v PD, ozn.D10</t>
  </si>
  <si>
    <t>483</t>
  </si>
  <si>
    <t>767641111RT1</t>
  </si>
  <si>
    <t>M+D Dveře Al EW30-DP3-C2 1000x2100mm -úplné provedení dle popisu v PD, ozn.PD01</t>
  </si>
  <si>
    <t>484</t>
  </si>
  <si>
    <t>767641111RT2</t>
  </si>
  <si>
    <t>M+D Dveře Al EW30-DP3-C2 1000x2170mm -úplné provedení dle popisu v PD, ozn.PD03</t>
  </si>
  <si>
    <t>485</t>
  </si>
  <si>
    <t>767641111RT3</t>
  </si>
  <si>
    <t>M+D Dveře Al EW30-DP3-C2 900x2050mm -úplné provedení dle popisu v PD, ozn.PD04</t>
  </si>
  <si>
    <t>486</t>
  </si>
  <si>
    <t>767649161RT6</t>
  </si>
  <si>
    <t>M+D Revizní dvířka EI30-DP1 500x500mm -dle popisu v PD, ozn.OV02</t>
  </si>
  <si>
    <t>487</t>
  </si>
  <si>
    <t>767811103RT1</t>
  </si>
  <si>
    <t>Montáž větracích mřížek plastových, vč.dodávky mřížky D 60 mm, ozn.OV03</t>
  </si>
  <si>
    <t>488</t>
  </si>
  <si>
    <t>767811103RT2</t>
  </si>
  <si>
    <t>Montáž větracích mřížek plastových, vč.dodávky mřížky D 100 mm, ozn.OV03</t>
  </si>
  <si>
    <t>489</t>
  </si>
  <si>
    <t>767811103RT3</t>
  </si>
  <si>
    <t>Montáž větracích mřížek plastových, vč.dodávky mřížky D 150 mm, ozn.OV03</t>
  </si>
  <si>
    <t>490</t>
  </si>
  <si>
    <t>767811103RT4</t>
  </si>
  <si>
    <t>Montáž větracích mřížek plastových, vč.dodávky mřížky D 175 mm, ozn.OV03</t>
  </si>
  <si>
    <t>491</t>
  </si>
  <si>
    <t>767811103RT5</t>
  </si>
  <si>
    <t>Montáž větracích mřížek plastových, vč.dodávky mřížky D 200 mm, ozn.OV03</t>
  </si>
  <si>
    <t>492</t>
  </si>
  <si>
    <t>767811891RT1</t>
  </si>
  <si>
    <t>Demontáž drobných doplňkových kov.kcí, vč.ekolog.likvidace na skládce (stěn.mřížky, reviz.otvory, strop.dvířka apod.) -dle pozn.17</t>
  </si>
  <si>
    <t>493</t>
  </si>
  <si>
    <t>767825110RT1</t>
  </si>
  <si>
    <t>M+D Ocelová obslužná lávka -provedení dle popisu v PD (v.č.D.1.1.11), ozn.Z01</t>
  </si>
  <si>
    <t>494</t>
  </si>
  <si>
    <t>767825110RT2</t>
  </si>
  <si>
    <t>M+D Ocelová obslužná lávka-zábradlí -provedení dle popisu v PD (v.č.D.1.1.11), ozn.Z02</t>
  </si>
  <si>
    <t>495</t>
  </si>
  <si>
    <t>767825110RT3</t>
  </si>
  <si>
    <t>M+D Ocel.rám pro kondenzační jednotku -provedení dle popisu v PD (v.č.D.1.1.11), ozn.Z03</t>
  </si>
  <si>
    <t>496</t>
  </si>
  <si>
    <t>767825110RT4</t>
  </si>
  <si>
    <t>M+D Podpěra pro potrubí TZB -provedení dle popisu v PD, ozn.Z04</t>
  </si>
  <si>
    <t>497</t>
  </si>
  <si>
    <t>767825110RT5</t>
  </si>
  <si>
    <t>M+D Ocel.rám -provedení dle popisu v PD, ozn.Z05, také pozn.l)</t>
  </si>
  <si>
    <t>498</t>
  </si>
  <si>
    <t>767825110RT6</t>
  </si>
  <si>
    <t>M+D Zesílení stropu -provedení dle popisu v PD, ozn.Z06, také pozn.e)</t>
  </si>
  <si>
    <t>499</t>
  </si>
  <si>
    <t>767825110RT7</t>
  </si>
  <si>
    <t>M+D Zesílení stropu -provedení dle popisu v PD, ozn.Z07, také pozn.e)</t>
  </si>
  <si>
    <t>500</t>
  </si>
  <si>
    <t>767995201RU1</t>
  </si>
  <si>
    <t>M+D WC štětka závěsná a držák dle popisu v PD -ozn.OV10</t>
  </si>
  <si>
    <t>501</t>
  </si>
  <si>
    <t>767995201RU2</t>
  </si>
  <si>
    <t>M+D Zásobník na toaletní papír dle popisu v PD -ozn.OV10</t>
  </si>
  <si>
    <t>502</t>
  </si>
  <si>
    <t>767995201RU3</t>
  </si>
  <si>
    <t>M+D Zásobník na papírové ručníky dle popisu v PD -ozn.OV11</t>
  </si>
  <si>
    <t>503</t>
  </si>
  <si>
    <t>767995201RU4</t>
  </si>
  <si>
    <t>M+D Dávkovač na tekuté mýdlo dle popisu v PD -ozn.OVN05/04</t>
  </si>
  <si>
    <t>504</t>
  </si>
  <si>
    <t>767995201RU5</t>
  </si>
  <si>
    <t>M+D Nástěnný háček na oděv dle popisu v PD -ozn.OV12</t>
  </si>
  <si>
    <t>505</t>
  </si>
  <si>
    <t>767995201RU6</t>
  </si>
  <si>
    <t>M+D Nástěnný držák na mýdlo, šampony dle popisu v PD -ozn.OV12</t>
  </si>
  <si>
    <t>506</t>
  </si>
  <si>
    <t>767995202RT3</t>
  </si>
  <si>
    <t>M+D Nerezové ukončovací lišty 10 mm -provedení dle popisu v PD -ozn.OV17</t>
  </si>
  <si>
    <t>507</t>
  </si>
  <si>
    <t>767995203RT1</t>
  </si>
  <si>
    <t>M+D Nerezové rohovníky 30x30 mm -provedení dle popisu v PD -ozn.OV06</t>
  </si>
  <si>
    <t>508</t>
  </si>
  <si>
    <t>767995205RT1</t>
  </si>
  <si>
    <t>M+D Nárazové svodidlo na Al profilu -provedení dle popisu v PD -ozn.OV06</t>
  </si>
  <si>
    <t>509</t>
  </si>
  <si>
    <t>767995205RT2</t>
  </si>
  <si>
    <t>M+D Ergoterapeutické madlo -provedení dle popisu v PD -ozn.OV06</t>
  </si>
  <si>
    <t>510</t>
  </si>
  <si>
    <t>998767103R00</t>
  </si>
  <si>
    <t>Přesun hmot pro zámečnické konstr., výšky do 24 m</t>
  </si>
  <si>
    <t>771</t>
  </si>
  <si>
    <t>Podlahy z dlaždic</t>
  </si>
  <si>
    <t>511</t>
  </si>
  <si>
    <t>771101142RT1</t>
  </si>
  <si>
    <t>Hydroizolační stěrka -vlhké provozy- pod dlažby, skladba PDL01, bod 3</t>
  </si>
  <si>
    <t>771_</t>
  </si>
  <si>
    <t>77_</t>
  </si>
  <si>
    <t>512</t>
  </si>
  <si>
    <t>771101210R00</t>
  </si>
  <si>
    <t>Penetrace podkladu pod dlažby</t>
  </si>
  <si>
    <t>513</t>
  </si>
  <si>
    <t>771212115R00</t>
  </si>
  <si>
    <t>Kladení dlažby keramické do tmelu, vel. do 500x500 mm, vč.dilatací, skladba PDL01, body 1, 2</t>
  </si>
  <si>
    <t>514</t>
  </si>
  <si>
    <t>59764206.B</t>
  </si>
  <si>
    <t>Dlažba keramická protiskluz. R10 450x450 nebo 300x600 mm -dle výběru investora</t>
  </si>
  <si>
    <t>515</t>
  </si>
  <si>
    <t>59764206.A</t>
  </si>
  <si>
    <t>Dlažba keramická protiskluz. R12 450x450 nebo 300x600 mm -dle výběru investora</t>
  </si>
  <si>
    <t>516</t>
  </si>
  <si>
    <t>771577133RS2</t>
  </si>
  <si>
    <t>Lišta nerezová přechodová -montáž a dodávka</t>
  </si>
  <si>
    <t>517</t>
  </si>
  <si>
    <t>771578011RT4</t>
  </si>
  <si>
    <t>Spára podlaha - stěna, silikonem+separač.provazec</t>
  </si>
  <si>
    <t>518</t>
  </si>
  <si>
    <t>771579791R00</t>
  </si>
  <si>
    <t>Příplatek za plochu podlah keram. do 5 m2 jednotl.</t>
  </si>
  <si>
    <t>519</t>
  </si>
  <si>
    <t>771579795R00</t>
  </si>
  <si>
    <t>Příplatek za spárování vodotěsnou hmotou - plošně</t>
  </si>
  <si>
    <t>520</t>
  </si>
  <si>
    <t>998771103R00</t>
  </si>
  <si>
    <t>Přesun hmot pro podlahy z dlaždic, výšky do 24 m</t>
  </si>
  <si>
    <t>776</t>
  </si>
  <si>
    <t>Podlahy povlakové</t>
  </si>
  <si>
    <t>521</t>
  </si>
  <si>
    <t>776101101R00</t>
  </si>
  <si>
    <t>Vysávání podlah prům.vysavačem pod povlak.podlahy</t>
  </si>
  <si>
    <t>776_</t>
  </si>
  <si>
    <t>522</t>
  </si>
  <si>
    <t>776401800RT1</t>
  </si>
  <si>
    <t>Demontáž soklíků nebo lišt, pryžových nebo z PVC, odstranění a uložení na hromady -dle pozn.2</t>
  </si>
  <si>
    <t>523</t>
  </si>
  <si>
    <t>776422115R00</t>
  </si>
  <si>
    <t>PVC lišta pro vlepení linolea -provedení dle popisu v PD, ozn.OV15 výška 60mm a 100mm</t>
  </si>
  <si>
    <t>524</t>
  </si>
  <si>
    <t>776422140R00</t>
  </si>
  <si>
    <t>PVC lišta pro vlepení linolea s fabionem -zvýšená, hygienická -provedení dle popisu v PD, ozn.OV14</t>
  </si>
  <si>
    <t>525</t>
  </si>
  <si>
    <t>776511810RT1</t>
  </si>
  <si>
    <t>Odstranění PVC a koberců lepených bez podložky, z ploch nad 20 m2 -dle pozn.2</t>
  </si>
  <si>
    <t>526</t>
  </si>
  <si>
    <t>776511810RT2</t>
  </si>
  <si>
    <t>Odstranění PVC a koberců lepených bez podložky, z ploch 10 - 20 m2 -dle pozn.2</t>
  </si>
  <si>
    <t>527</t>
  </si>
  <si>
    <t>776511810RT3</t>
  </si>
  <si>
    <t>Odstranění PVC a koberců lepených bez podložky, z ploch do 10 m2 -dle pozn.2</t>
  </si>
  <si>
    <t>528</t>
  </si>
  <si>
    <t>776521100T00</t>
  </si>
  <si>
    <t>Lepení povlakových podlah z pásů, skladba PDL02, body 1, 2</t>
  </si>
  <si>
    <t>529</t>
  </si>
  <si>
    <t>284122076</t>
  </si>
  <si>
    <t>Podlahovina PVC zátěžová tř.34, protiskl.R10, tl. 2,5 mm -dle výběru investora</t>
  </si>
  <si>
    <t>530</t>
  </si>
  <si>
    <t>28410244</t>
  </si>
  <si>
    <t>Linoleum antistatické, zátěžová tř.34, protiskl.R10, tl. 2,5 mm -dle výběru investora</t>
  </si>
  <si>
    <t>531</t>
  </si>
  <si>
    <t>998776103R00</t>
  </si>
  <si>
    <t>Přesun hmot pro podlahy povlakové, výšky do 24 m</t>
  </si>
  <si>
    <t>781</t>
  </si>
  <si>
    <t>Obklady (keramické)</t>
  </si>
  <si>
    <t>532</t>
  </si>
  <si>
    <t>781101142R00</t>
  </si>
  <si>
    <t>Hydroizolační stěrka pod obklady -skladba PDL01, bod 3, také skladby SO02, SO03a-e</t>
  </si>
  <si>
    <t>781_</t>
  </si>
  <si>
    <t>78_</t>
  </si>
  <si>
    <t>533</t>
  </si>
  <si>
    <t>781101210R00</t>
  </si>
  <si>
    <t>Penetrace podkladu pod obklady</t>
  </si>
  <si>
    <t>534</t>
  </si>
  <si>
    <t>781415015R00</t>
  </si>
  <si>
    <t>Montáž obkladů stěn, porovin.,tmel, 20x20,30x15 cm -skladba SO02, SO03a-e</t>
  </si>
  <si>
    <t>535</t>
  </si>
  <si>
    <t>597813610</t>
  </si>
  <si>
    <t>Obkládačka 15x15, 20x20, 20x40 -dle výběru investora</t>
  </si>
  <si>
    <t>536</t>
  </si>
  <si>
    <t>781419706R00</t>
  </si>
  <si>
    <t>Příplatek za spárovací vodotěsnou hmotu - plošně</t>
  </si>
  <si>
    <t>537</t>
  </si>
  <si>
    <t>781497111RS2</t>
  </si>
  <si>
    <t>Lišta hliníková ukončovací k obkladům, profil RB, pro tloušťku obkladu 8 mm</t>
  </si>
  <si>
    <t>538</t>
  </si>
  <si>
    <t>781497121RS2</t>
  </si>
  <si>
    <t>Lišta hliníková rohová k obkladům, profil RB, pro tloušťku obkladu 8 mm</t>
  </si>
  <si>
    <t>539</t>
  </si>
  <si>
    <t>998781103R00</t>
  </si>
  <si>
    <t>Přesun hmot pro obklady keramické, výšky do 24 m</t>
  </si>
  <si>
    <t>783</t>
  </si>
  <si>
    <t>Nátěry</t>
  </si>
  <si>
    <t>540</t>
  </si>
  <si>
    <t>783201811R00</t>
  </si>
  <si>
    <t>Odstranění nátěrů z kovových konstrukcí oškrábáním -dle pozn.14, také pozn.b)</t>
  </si>
  <si>
    <t>783_</t>
  </si>
  <si>
    <t>541</t>
  </si>
  <si>
    <t>Odstranění nátěrů z kovových konstrukcí oškrábáním -dle pozn.15</t>
  </si>
  <si>
    <t>542</t>
  </si>
  <si>
    <t>783222921R00</t>
  </si>
  <si>
    <t>Nátěr syntetický kov.konstr.antikorozní 2x -dle pozn.15 a pozn.d), také skladba STR01, bod 2</t>
  </si>
  <si>
    <t>543</t>
  </si>
  <si>
    <t>783225100R00</t>
  </si>
  <si>
    <t>Nátěr syntetický kovových konstrukcí 3x -dle pozn.14, také pozn.b) a nové zárubně</t>
  </si>
  <si>
    <t>544</t>
  </si>
  <si>
    <t>783226110R00</t>
  </si>
  <si>
    <t>Nátěr syntetický kovových konstrukcí základní 2x -dle pozn.14, také pozn.b) a nové zárubně</t>
  </si>
  <si>
    <t>545</t>
  </si>
  <si>
    <t>Nátěr syntetický kovových konstrukcí základní 2x -dle pozn.15 a pozn.d), také skladba STR01, bod 2</t>
  </si>
  <si>
    <t>546</t>
  </si>
  <si>
    <t>783812100RT1</t>
  </si>
  <si>
    <t>Nátěr omyvatelný stěn 2x + 1x tmel</t>
  </si>
  <si>
    <t>547</t>
  </si>
  <si>
    <t>783812190RT1</t>
  </si>
  <si>
    <t>Nátěr omyvatelný stěn, napuštění</t>
  </si>
  <si>
    <t>548</t>
  </si>
  <si>
    <t>783903812R00</t>
  </si>
  <si>
    <t>Odmaštění saponáty -dle pozn.14, také pozn.b) a nové zárubně</t>
  </si>
  <si>
    <t>549</t>
  </si>
  <si>
    <t>Odmaštění saponáty -dle pozn.15 a pozn.d)</t>
  </si>
  <si>
    <t>550</t>
  </si>
  <si>
    <t>783904811R00</t>
  </si>
  <si>
    <t>Odrezivění kovových konstrukcí -dle pozn.15 a pozn.d)</t>
  </si>
  <si>
    <t>784</t>
  </si>
  <si>
    <t>Malby</t>
  </si>
  <si>
    <t>551</t>
  </si>
  <si>
    <t>784402801R00</t>
  </si>
  <si>
    <t>Odstranění malby oškrábáním v místnosti H do 3,8 m -dle pozn.7</t>
  </si>
  <si>
    <t>784_</t>
  </si>
  <si>
    <t>552</t>
  </si>
  <si>
    <t>784011111R00</t>
  </si>
  <si>
    <t>Oprášení/ometení podkladu -stěny, ostění</t>
  </si>
  <si>
    <t>553</t>
  </si>
  <si>
    <t>784011121R00</t>
  </si>
  <si>
    <t>Broušení štuků a nových omítek -stěny, ostění</t>
  </si>
  <si>
    <t>554</t>
  </si>
  <si>
    <t>784011222RT2</t>
  </si>
  <si>
    <t>Zakrytí podlah, včetně odstranění, včetně papírové lepenky</t>
  </si>
  <si>
    <t>555</t>
  </si>
  <si>
    <t>784111201R00</t>
  </si>
  <si>
    <t>Penetrace podkladu nátěrem s vysokou kryvostí -stěny, ostění</t>
  </si>
  <si>
    <t>556</t>
  </si>
  <si>
    <t>Penetrace podkladu nátěrem s vysokou kryvostí -stěny SDK -skladby SO03a-g</t>
  </si>
  <si>
    <t>557</t>
  </si>
  <si>
    <t>Penetrace podkladu nátěrem s vysokou kryvostí -podhledy SDK -skladba STR01, bod 8</t>
  </si>
  <si>
    <t>558</t>
  </si>
  <si>
    <t>784165612R00</t>
  </si>
  <si>
    <t>Malba otěruvzdorná, prodyšná, bílá, 2x -stěny, ostění</t>
  </si>
  <si>
    <t>559</t>
  </si>
  <si>
    <t>Malba otěruvzdorná, prodyšná, bílá, 2x -stěny SDK -skladby SO03a-g</t>
  </si>
  <si>
    <t>560</t>
  </si>
  <si>
    <t>Malba otěruvzdorná, prodyšná, bílá, 2x -podhledy SDK -skladba STR01, bod 8</t>
  </si>
  <si>
    <t>561</t>
  </si>
  <si>
    <t>784411301R00</t>
  </si>
  <si>
    <t>Pačokování 2x vápenné mléko-stěny,ostění</t>
  </si>
  <si>
    <t>786</t>
  </si>
  <si>
    <t>Čalounické úpravy</t>
  </si>
  <si>
    <t>562</t>
  </si>
  <si>
    <t>786622211R00</t>
  </si>
  <si>
    <t>Žaluzie horizontální vnitřní AL lamely bílé, ozn.OV18</t>
  </si>
  <si>
    <t>786_</t>
  </si>
  <si>
    <t>563</t>
  </si>
  <si>
    <t>55346625</t>
  </si>
  <si>
    <t>Žaluzie horizont. interiérová do 1,5 m2</t>
  </si>
  <si>
    <t>564</t>
  </si>
  <si>
    <t>55346626</t>
  </si>
  <si>
    <t>Žaluzie horizont. interiérová do 2,5 m2</t>
  </si>
  <si>
    <t>565</t>
  </si>
  <si>
    <t>55346627</t>
  </si>
  <si>
    <t>Žaluzie horizont. interiérová do 3,5 m2</t>
  </si>
  <si>
    <t>566</t>
  </si>
  <si>
    <t>786622219RT1</t>
  </si>
  <si>
    <t xml:space="preserve">Demontáž žaluzií horizontálních vnitřních AL lamely, vč.ekolog.likvidace na skládce	</t>
  </si>
  <si>
    <t>567</t>
  </si>
  <si>
    <t>998786103R00</t>
  </si>
  <si>
    <t>Přesun hmot pro zastiň. techniku, výšky do 24 m</t>
  </si>
  <si>
    <t>M21</t>
  </si>
  <si>
    <t>Elektromontáže</t>
  </si>
  <si>
    <t>568</t>
  </si>
  <si>
    <t>210100101</t>
  </si>
  <si>
    <t>RH-1.1, oceloplechová rozvodnice, 2 pole rozměr 600x1900x300 - specifikace výkres D.1.4.4.5, včetně montáže a příslušenství</t>
  </si>
  <si>
    <t>M21_</t>
  </si>
  <si>
    <t>569</t>
  </si>
  <si>
    <t>210100102</t>
  </si>
  <si>
    <t>Jistič 32A, 3 póly, charakteristika B, 10kA</t>
  </si>
  <si>
    <t>570</t>
  </si>
  <si>
    <t>210100103</t>
  </si>
  <si>
    <t>Jistič 40A, 3 póly, charakteristika B, 10kA</t>
  </si>
  <si>
    <t>571</t>
  </si>
  <si>
    <t>210100104</t>
  </si>
  <si>
    <t>Jistič 50A, 3 póly, charakteristika B, 10kA</t>
  </si>
  <si>
    <t>572</t>
  </si>
  <si>
    <t>210100105</t>
  </si>
  <si>
    <t>8102, Krabice s průchodkami a svorkovnicí, IP54</t>
  </si>
  <si>
    <t>573</t>
  </si>
  <si>
    <t>210100106</t>
  </si>
  <si>
    <t>KU 68-1903, Krabice rozvodná s víčkem a svorkovnicí</t>
  </si>
  <si>
    <t>574</t>
  </si>
  <si>
    <t>210100107</t>
  </si>
  <si>
    <t>KP 67x67 Přístrojová krabice</t>
  </si>
  <si>
    <t>575</t>
  </si>
  <si>
    <t>210100108</t>
  </si>
  <si>
    <t>KO 125E, Krabice univerzální</t>
  </si>
  <si>
    <t>576</t>
  </si>
  <si>
    <t>210100109</t>
  </si>
  <si>
    <t>Ekvipotenciální přípojnice EPS 2</t>
  </si>
  <si>
    <t>577</t>
  </si>
  <si>
    <t>210100110</t>
  </si>
  <si>
    <t>UV stabilní ohebná trubka 2332/LPE-1_F50U</t>
  </si>
  <si>
    <t>578</t>
  </si>
  <si>
    <t>210100110a</t>
  </si>
  <si>
    <t>Trubka elektroinstalační ohebná, PVC, O32</t>
  </si>
  <si>
    <t>579</t>
  </si>
  <si>
    <t>210100110b</t>
  </si>
  <si>
    <t>Trubka elektroinstalační ohebná, PVC, O50</t>
  </si>
  <si>
    <t>580</t>
  </si>
  <si>
    <t>210100111</t>
  </si>
  <si>
    <t>Kabelový žlab drátěný DZ 60x150, žárový zinek, včetně příslušenství</t>
  </si>
  <si>
    <t>581</t>
  </si>
  <si>
    <t>210100112</t>
  </si>
  <si>
    <t>5210 D_ZNCR, Kabelová příchytka s funkční odolností při požáru,
včetně kotvy KP06</t>
  </si>
  <si>
    <t>582</t>
  </si>
  <si>
    <t>210100113</t>
  </si>
  <si>
    <t>Vodič jednožilový izolace PVC, CYA 2,5   mm2,zel/žl, pevně</t>
  </si>
  <si>
    <t>583</t>
  </si>
  <si>
    <t>210100114</t>
  </si>
  <si>
    <t>Vodič jednožilový izolace PVC, CYA 4   mm2,zel/žl, pevně</t>
  </si>
  <si>
    <t>584</t>
  </si>
  <si>
    <t>210100115</t>
  </si>
  <si>
    <t>Vodič jednožilový izolace PVC, CYA 6   mm2,zel/žl, pevně</t>
  </si>
  <si>
    <t>585</t>
  </si>
  <si>
    <t>210100116</t>
  </si>
  <si>
    <t>Vodič jednožilový izolace PVC, CY 16  mm2,zel/žl, pevně</t>
  </si>
  <si>
    <t>586</t>
  </si>
  <si>
    <t>210100117</t>
  </si>
  <si>
    <t>Kabel silový izolace PVC, CYKY-O 2x1,5, pod omítkou</t>
  </si>
  <si>
    <t>587</t>
  </si>
  <si>
    <t>210100117a</t>
  </si>
  <si>
    <t>Kabel silový izolace PVC, CYKY-O 3x1,5, pod omítkou</t>
  </si>
  <si>
    <t>588</t>
  </si>
  <si>
    <t>210100118</t>
  </si>
  <si>
    <t>Kabel silový izolace PVC, CYKY-J 3x1,5, pod omítkou</t>
  </si>
  <si>
    <t>589</t>
  </si>
  <si>
    <t>210100119</t>
  </si>
  <si>
    <t>Kabel silový izolace PVC, CYKY-J 4x1,5, pod omítkou</t>
  </si>
  <si>
    <t>590</t>
  </si>
  <si>
    <t>210100120</t>
  </si>
  <si>
    <t>Kabel silový izolace PVC, CYKY-J 3x2,5, pod omítkou</t>
  </si>
  <si>
    <t>591</t>
  </si>
  <si>
    <t>210100121</t>
  </si>
  <si>
    <t>Kabel silový izolace PVC, CYKY-J 3x6, pod omítkou</t>
  </si>
  <si>
    <t>592</t>
  </si>
  <si>
    <t>210100122</t>
  </si>
  <si>
    <t>Kabel silový izolace PVC, CYKY-J 5x1,5, pod omítkou</t>
  </si>
  <si>
    <t>593</t>
  </si>
  <si>
    <t>210100123</t>
  </si>
  <si>
    <t>Kabel silový izolace PVC, CYKY-J 5x2,5, pod omítkou</t>
  </si>
  <si>
    <t>594</t>
  </si>
  <si>
    <t>210100124</t>
  </si>
  <si>
    <t>Kabel silový izolace PVC, 1-CYKY-J 5x10, pod omítkou</t>
  </si>
  <si>
    <t>595</t>
  </si>
  <si>
    <t>210100125</t>
  </si>
  <si>
    <t>Kabel silový izolace PVC, 1-CYKY-J 5x16, pod omítkou</t>
  </si>
  <si>
    <t>596</t>
  </si>
  <si>
    <t>210100126</t>
  </si>
  <si>
    <t>Kabel se zachováním funkční integrity P60-R, 1-CXKH-V-J 3x1,5, pevně</t>
  </si>
  <si>
    <t>597</t>
  </si>
  <si>
    <t>210100127</t>
  </si>
  <si>
    <t>Kabel ovládací, J-Y(St)Y 2x2x0,8, pod omítkou</t>
  </si>
  <si>
    <t>598</t>
  </si>
  <si>
    <t>210100127a</t>
  </si>
  <si>
    <t>Kabel datový UTP Cat 5e, zatažení</t>
  </si>
  <si>
    <t>599</t>
  </si>
  <si>
    <t>210100128</t>
  </si>
  <si>
    <t>Ukončení vodičů v rozváděči do 2,5 mm2</t>
  </si>
  <si>
    <t>600</t>
  </si>
  <si>
    <t>210100129</t>
  </si>
  <si>
    <t>Ukončení vodičů v rozváděči do 10 mm2</t>
  </si>
  <si>
    <t>601</t>
  </si>
  <si>
    <t>210100130</t>
  </si>
  <si>
    <t>Ukončení vodičů v rozváděči do 25 mm2</t>
  </si>
  <si>
    <t>602</t>
  </si>
  <si>
    <t>210100131</t>
  </si>
  <si>
    <t>Montáž rozvaděčů skříňových 1 pole</t>
  </si>
  <si>
    <t>603</t>
  </si>
  <si>
    <t>210100132</t>
  </si>
  <si>
    <t>Přístroj  - spínač 1-pólový (1), 3559-A01345</t>
  </si>
  <si>
    <t>604</t>
  </si>
  <si>
    <t>210100132a</t>
  </si>
  <si>
    <t>"Přístroj  - spínač 1-pólový se svorkou N (1S, 1So), 3559-A21345,
včetně signalizační doutnavky"</t>
  </si>
  <si>
    <t>605</t>
  </si>
  <si>
    <t>210100133</t>
  </si>
  <si>
    <t>Přístroj - ovládač zapínací (1/0), 3559-A91345</t>
  </si>
  <si>
    <t>606</t>
  </si>
  <si>
    <t>210100134</t>
  </si>
  <si>
    <t>Přístroj - sériový přepínač (5), 3559-A05345</t>
  </si>
  <si>
    <t>607</t>
  </si>
  <si>
    <t>210100135</t>
  </si>
  <si>
    <t>Přístroj - střídavý přepínač (6), 3559-A06345</t>
  </si>
  <si>
    <t>608</t>
  </si>
  <si>
    <t>210100137</t>
  </si>
  <si>
    <t>Kryt spínače kolébkového, LEVIT, 3559H-A00651 01, bílá/ledová bílá</t>
  </si>
  <si>
    <t>609</t>
  </si>
  <si>
    <t>210100138</t>
  </si>
  <si>
    <t>Kryt spínače kolébkového dělený, LEVIT, 3559H-A00652 01, bílá/ledová bílá</t>
  </si>
  <si>
    <t>610</t>
  </si>
  <si>
    <t>210100139</t>
  </si>
  <si>
    <t>Rámeček jednonásobný, LEVIT, 3901H-A05010 01, bílá/ledová bílá</t>
  </si>
  <si>
    <t>611</t>
  </si>
  <si>
    <t>210100140</t>
  </si>
  <si>
    <t>Rámeček jednonásobný, LEVIT, 3901H-A05010 67, zelená/kouřová černá</t>
  </si>
  <si>
    <t>612</t>
  </si>
  <si>
    <t>210100141</t>
  </si>
  <si>
    <t>Rámeček dvojnásobný, LEVIT, 3901H-A05020 01, bílá/ledová bílá</t>
  </si>
  <si>
    <t>613</t>
  </si>
  <si>
    <t>210100142</t>
  </si>
  <si>
    <t>Rámeček dvojnásobný, LEVIT, 3901H-A05020 67, zelená/kouřová černá</t>
  </si>
  <si>
    <t>614</t>
  </si>
  <si>
    <t>210100143</t>
  </si>
  <si>
    <t>Rámeček trojnásobný, LEVIT, 3901H-A05030 01, bílá/ledová bílá</t>
  </si>
  <si>
    <t>615</t>
  </si>
  <si>
    <t>210100144</t>
  </si>
  <si>
    <t>Rámeček trojnásobný, LEVIT, 3901H-A05030 67, zelená/kouřová černá</t>
  </si>
  <si>
    <t>616</t>
  </si>
  <si>
    <t>210100145</t>
  </si>
  <si>
    <t>Rámeček čtyřnásobný, LEVIT, 3901H-A05040 01, bílá/ledová bílá</t>
  </si>
  <si>
    <t>617</t>
  </si>
  <si>
    <t>210100146</t>
  </si>
  <si>
    <t>Rámeček čtyřnásobný, LEVIT, 3901H-A05040 67, zelená/kouřová černá</t>
  </si>
  <si>
    <t>618</t>
  </si>
  <si>
    <t>210100147</t>
  </si>
  <si>
    <t>Rámeček pětinásobný, LEVIT, 3901H-A05050 01, bílá/ledová bílá</t>
  </si>
  <si>
    <t>619</t>
  </si>
  <si>
    <t>210100148</t>
  </si>
  <si>
    <t>Zásuvka jednonásobná, bezšr., LEVIT, 5519H-A02357 01, bílá/ledově bílá</t>
  </si>
  <si>
    <t>620</t>
  </si>
  <si>
    <t>210100149</t>
  </si>
  <si>
    <t>Zásuvka jednonásobná, bezšr., LEVIT, 5519H-A02357 67,
zelená/kouřová černá</t>
  </si>
  <si>
    <t>621</t>
  </si>
  <si>
    <t>210100150</t>
  </si>
  <si>
    <t>Zásuvka jednon., s ochranou proti přepětí, LEVIT,  5599H-A02357 01</t>
  </si>
  <si>
    <t>622</t>
  </si>
  <si>
    <t>210100151</t>
  </si>
  <si>
    <t>Zásuvka nástěnná Bals, Quick-Connect, 11895, 16A 3P</t>
  </si>
  <si>
    <t>623</t>
  </si>
  <si>
    <t>210100152</t>
  </si>
  <si>
    <t>Zásuvka nástěnná Bals, Quick-Connect, 11919, 32A 3P</t>
  </si>
  <si>
    <t>624</t>
  </si>
  <si>
    <t>210100153</t>
  </si>
  <si>
    <t>Spínač jednopólový (1), IP54, Variant+, 3559N-C01510 B</t>
  </si>
  <si>
    <t>625</t>
  </si>
  <si>
    <t>210100154</t>
  </si>
  <si>
    <t>Zásuvka jednonásobná, IP54, Variant+, 5519N-C02540 B</t>
  </si>
  <si>
    <t>626</t>
  </si>
  <si>
    <t>210100155</t>
  </si>
  <si>
    <t>Zásuvka průmyslová nástěnná, 2CMA102329R1000 , 16A, IP44</t>
  </si>
  <si>
    <t>627</t>
  </si>
  <si>
    <t>210100156</t>
  </si>
  <si>
    <t>Svorka pro vyrovnání potenciálu dvojnásobná, zapuštěná, včetně rámečku - ABB 2CKA002495A0059</t>
  </si>
  <si>
    <t>628</t>
  </si>
  <si>
    <t>210100157</t>
  </si>
  <si>
    <t>Hodiny spínací programovatelné, ovládací jednotka, 3292H-A20301 01, bílá/ledová bílá</t>
  </si>
  <si>
    <t>629</t>
  </si>
  <si>
    <t>210100158</t>
  </si>
  <si>
    <t>Přístroj spínací pro spínací hodiny, 3292U-A00013</t>
  </si>
  <si>
    <t>630</t>
  </si>
  <si>
    <t>210100159</t>
  </si>
  <si>
    <t>Sada pro nouzovou signalizaci, pro přivolání pomoci tělesně postiženým osobám - ABB 3280B-C10001 B</t>
  </si>
  <si>
    <t>631</t>
  </si>
  <si>
    <t>210100160</t>
  </si>
  <si>
    <t>Svítidlo vestavné "A2", kruhové 240mm, Al, opálový kryt, 14W, 1400lm, 3000K, bílá, včetně zdrojů a recyklačního poplatku</t>
  </si>
  <si>
    <t>632</t>
  </si>
  <si>
    <t>210100161</t>
  </si>
  <si>
    <t>Svítidlo vestavné "A3", kruhové 240mm, Al, opálový kryt, 20W, 2100lm, 3000K, bílá, včetně zdrojů a recyklačního poplatku</t>
  </si>
  <si>
    <t>633</t>
  </si>
  <si>
    <t>210100162</t>
  </si>
  <si>
    <t>Svítidlo vestavné "C", 296x296mm, mikroprizma, 17W, 1800lm, 3000K, včetně zdrojů a recyklačního poplatku</t>
  </si>
  <si>
    <t>634</t>
  </si>
  <si>
    <t>210100163</t>
  </si>
  <si>
    <t>Svítidlo vestavné "D1", modul 600, nanoprizma, 19W, 2050lm, 3000K, včetně zdrojů a recyklačního poplatku</t>
  </si>
  <si>
    <t>635</t>
  </si>
  <si>
    <t>210100164</t>
  </si>
  <si>
    <t>Svítidlo přisazené/vestavné "E1", modul 600, nanoprizma, 24W, 3100lm,
4000K, včetně zdrojů a recyklačního poplatku</t>
  </si>
  <si>
    <t>636</t>
  </si>
  <si>
    <t>210100165</t>
  </si>
  <si>
    <t>Svítidlo přisazené/vestavné "E2", modul 600, nanoprizma, 35W, 4500lm,
3000K, včetně zdrojů a recyklačního poplatku</t>
  </si>
  <si>
    <t>637</t>
  </si>
  <si>
    <t>210100166</t>
  </si>
  <si>
    <t>Svítidlo přisazené/vestavné "E3", modul 600, nanoprizma, 49W, 5700lm,
4000K, včetně zdrojů a recyklačního poplatku</t>
  </si>
  <si>
    <t>638</t>
  </si>
  <si>
    <t>210100167</t>
  </si>
  <si>
    <t>Svítidlo přisazené "K", 600mm, opál, 20W, 2500lm, 3000K, včetně zdrojů a recyklačního poplatku</t>
  </si>
  <si>
    <t>639</t>
  </si>
  <si>
    <t>210100168</t>
  </si>
  <si>
    <t>Svítidlo průmyslové zářivkové "P1", 1x36W, včetně zdrojů a recyklačního poplatku</t>
  </si>
  <si>
    <t>640</t>
  </si>
  <si>
    <t>210100169</t>
  </si>
  <si>
    <t>Svítidlo průmyslové zářivkové "P2", 2x36W, včetně zdrojů a recyklačního poplatku</t>
  </si>
  <si>
    <t>641</t>
  </si>
  <si>
    <t>210100170</t>
  </si>
  <si>
    <t>Svítidlo nouzové LED "N1", autonomní baterie, 2W, 1h, bílé, piktogram, včetně recykl. poplatků</t>
  </si>
  <si>
    <t>642</t>
  </si>
  <si>
    <t>210100171</t>
  </si>
  <si>
    <t>Svítidlo nouzové LED "N2", vestavné, autonomní baterie, 3W, 1h, včetně recykl. poplatků</t>
  </si>
  <si>
    <t>643</t>
  </si>
  <si>
    <t>210100172</t>
  </si>
  <si>
    <t>Svítidlo germicidní, otevřené, přímé, 2x36W, včetně zdrojů a recyklačního poplatku</t>
  </si>
  <si>
    <t>644</t>
  </si>
  <si>
    <t>210100173</t>
  </si>
  <si>
    <t>Výstražné LED svítidlo 350x120x35mm, s nápisem
"POZOR UV-C ZÁŘENÍ"</t>
  </si>
  <si>
    <t>645</t>
  </si>
  <si>
    <t>210100174</t>
  </si>
  <si>
    <t>Drát AlMgSi O8, montáž bez podpěr</t>
  </si>
  <si>
    <t>646</t>
  </si>
  <si>
    <t>210100175</t>
  </si>
  <si>
    <t>Svorka univerzální SU</t>
  </si>
  <si>
    <t>647</t>
  </si>
  <si>
    <t>210100176</t>
  </si>
  <si>
    <t>Svorka k jímací tyči SJ 1b</t>
  </si>
  <si>
    <t>648</t>
  </si>
  <si>
    <t>210100177</t>
  </si>
  <si>
    <t>Podstavec betonový PB19</t>
  </si>
  <si>
    <t>649</t>
  </si>
  <si>
    <t>210100178</t>
  </si>
  <si>
    <t>Tvarování prvků</t>
  </si>
  <si>
    <t>650</t>
  </si>
  <si>
    <t>210100179</t>
  </si>
  <si>
    <t>Jímací tyč délky 2m, JR 2 18/10 AlMgSi</t>
  </si>
  <si>
    <t>651</t>
  </si>
  <si>
    <t>210100180</t>
  </si>
  <si>
    <t>Pásek uzemňovací Cu - 10m, 0,3x15mm</t>
  </si>
  <si>
    <t>652</t>
  </si>
  <si>
    <t>210100181</t>
  </si>
  <si>
    <t>Zemnící svorka ZSA 16, pro zemnící pásek</t>
  </si>
  <si>
    <t>653</t>
  </si>
  <si>
    <t>210100182</t>
  </si>
  <si>
    <t>Montáž a zap. ventilátorů, apod</t>
  </si>
  <si>
    <t>654</t>
  </si>
  <si>
    <t>210100183</t>
  </si>
  <si>
    <t>Celková prohlídka a vyhotovení revizní zprávy</t>
  </si>
  <si>
    <t>655</t>
  </si>
  <si>
    <t>210100184</t>
  </si>
  <si>
    <t>Demontáž stávajících rozvodů, včetně odvozu na skládku</t>
  </si>
  <si>
    <t>656</t>
  </si>
  <si>
    <t>210100185</t>
  </si>
  <si>
    <t>Vybourání otvoru ve zdivu cihelném, plochy do 0,0225m2 a tloušťky
přes 15 do 30 cm</t>
  </si>
  <si>
    <t>657</t>
  </si>
  <si>
    <t>210100186</t>
  </si>
  <si>
    <t>Vybourání otvoru ve zdivu cihelném, plochy do 0,0225m2 a tloušťky
přes 45 do 60 cm</t>
  </si>
  <si>
    <t>658</t>
  </si>
  <si>
    <t>210100187</t>
  </si>
  <si>
    <t>Vysekání kapes nebo výklenků ve zdivu pro osazení krabic,
velikosti 10x10x8cm</t>
  </si>
  <si>
    <t>659</t>
  </si>
  <si>
    <t>210100188</t>
  </si>
  <si>
    <t>Vysekání kapes nebo výklenků ve zdivu pro osazení krabic,
plochy do 0,1m2 a hloubky do 15cm</t>
  </si>
  <si>
    <t>660</t>
  </si>
  <si>
    <t>210100189</t>
  </si>
  <si>
    <t>Vysekání rýh pro montáž trubek a kabelů v cihelných zdech,
hloubky přes 3 do 5cm a šířky do 5cm</t>
  </si>
  <si>
    <t>661</t>
  </si>
  <si>
    <t>210100190</t>
  </si>
  <si>
    <t>Zhotovení ohnivzdorných ucpávek vestěnovém průchodu tl. přes
150 do 300mm</t>
  </si>
  <si>
    <t>662</t>
  </si>
  <si>
    <t>210100191</t>
  </si>
  <si>
    <t>Úprava stávajícího zařízení</t>
  </si>
  <si>
    <t>663</t>
  </si>
  <si>
    <t>210100192</t>
  </si>
  <si>
    <t>Koordinace postupu prací s ostatními profesemi</t>
  </si>
  <si>
    <t>664</t>
  </si>
  <si>
    <t>210100193</t>
  </si>
  <si>
    <t>Podružný materiál - 5% z materiálu</t>
  </si>
  <si>
    <t>M22-1</t>
  </si>
  <si>
    <t>Montáže sdělovací a zabezpečovací techniky - Telefonní a datový rozvod</t>
  </si>
  <si>
    <t>665</t>
  </si>
  <si>
    <t>220100101</t>
  </si>
  <si>
    <t>19" stojanový rozvaděč, výška 42U, 600x600</t>
  </si>
  <si>
    <t>M22-1_</t>
  </si>
  <si>
    <t>666</t>
  </si>
  <si>
    <t>220100102</t>
  </si>
  <si>
    <t>Napájeví panel 19",5x 230V , vypínač</t>
  </si>
  <si>
    <t>667</t>
  </si>
  <si>
    <t>220100103</t>
  </si>
  <si>
    <t>Patchpanel 24 portů RJ-45 pro 19" rozvaděče, cat.6</t>
  </si>
  <si>
    <t>668</t>
  </si>
  <si>
    <t>220100104</t>
  </si>
  <si>
    <t>Montážní sada</t>
  </si>
  <si>
    <t>669</t>
  </si>
  <si>
    <t>220100105</t>
  </si>
  <si>
    <t>Vyvazovací panel pro 19" rozvaděče</t>
  </si>
  <si>
    <t>670</t>
  </si>
  <si>
    <t>220100106</t>
  </si>
  <si>
    <t>Propojovací ISDN panel 50xRJ-45, 1U</t>
  </si>
  <si>
    <t>671</t>
  </si>
  <si>
    <t>220100107</t>
  </si>
  <si>
    <t>19" optická vana kompletní, 24xSC/UPC 50/125µm, včetně pigtailů SC/UPC a optické kazety, výška 1U</t>
  </si>
  <si>
    <t>672</t>
  </si>
  <si>
    <t>220100108</t>
  </si>
  <si>
    <t>Optický svár</t>
  </si>
  <si>
    <t>673</t>
  </si>
  <si>
    <t>220100109</t>
  </si>
  <si>
    <t>Popis a záznam rozvaděče</t>
  </si>
  <si>
    <t>674</t>
  </si>
  <si>
    <t>220100110</t>
  </si>
  <si>
    <t>Uzemnění rozvaděče na stávající zem</t>
  </si>
  <si>
    <t>675</t>
  </si>
  <si>
    <t>220100111</t>
  </si>
  <si>
    <t>Úprava a závěrečné práce v rozvaděči</t>
  </si>
  <si>
    <t>676</t>
  </si>
  <si>
    <t>220100112</t>
  </si>
  <si>
    <t>Datová zásuvka 2x RJ-45 cat.6</t>
  </si>
  <si>
    <t>677</t>
  </si>
  <si>
    <t>220100113</t>
  </si>
  <si>
    <t>Vytvoření kabelové rezervy v podhledu, cca 5 m</t>
  </si>
  <si>
    <t>678</t>
  </si>
  <si>
    <t>220100114</t>
  </si>
  <si>
    <t>Kabel UTP cat.6</t>
  </si>
  <si>
    <t>679</t>
  </si>
  <si>
    <t>220100115</t>
  </si>
  <si>
    <t>Kabel SYKFY 50x2x0,5</t>
  </si>
  <si>
    <t>680</t>
  </si>
  <si>
    <t>220100116</t>
  </si>
  <si>
    <t>Optický kabel 12 vl., SM 9/125 univerzální</t>
  </si>
  <si>
    <t>681</t>
  </si>
  <si>
    <t>220100117</t>
  </si>
  <si>
    <t>Kabe CYA 10 Žz</t>
  </si>
  <si>
    <t>682</t>
  </si>
  <si>
    <t>220100118</t>
  </si>
  <si>
    <t>Trubka ohebná 16 mm, 320 N</t>
  </si>
  <si>
    <t>683</t>
  </si>
  <si>
    <t>220100119</t>
  </si>
  <si>
    <t>Trubka ohebná 29 mm, 320 N</t>
  </si>
  <si>
    <t>684</t>
  </si>
  <si>
    <t>220100120</t>
  </si>
  <si>
    <t>Protahovací vodič CY1,5 mm</t>
  </si>
  <si>
    <t>685</t>
  </si>
  <si>
    <t>220100121</t>
  </si>
  <si>
    <t>Instalační krabice do betonu, do sádrokartonu, včetně veškerého příslušenství (kryty, rámečky, lustrháky, a pod...)</t>
  </si>
  <si>
    <t>686</t>
  </si>
  <si>
    <t>220100122</t>
  </si>
  <si>
    <t>Krabice odbočná pr.97</t>
  </si>
  <si>
    <t>687</t>
  </si>
  <si>
    <t>220100123</t>
  </si>
  <si>
    <t>Víčko ke kruhové krabici</t>
  </si>
  <si>
    <t>688</t>
  </si>
  <si>
    <t>220100124</t>
  </si>
  <si>
    <t>Lišta vkládací 40X15</t>
  </si>
  <si>
    <t>689</t>
  </si>
  <si>
    <t>220100125</t>
  </si>
  <si>
    <t>Lišta vkládací 18X13</t>
  </si>
  <si>
    <t>690</t>
  </si>
  <si>
    <t>220100126</t>
  </si>
  <si>
    <t>Příprava kabelu pro uložení do 10 žil</t>
  </si>
  <si>
    <t>691</t>
  </si>
  <si>
    <t>220100127</t>
  </si>
  <si>
    <t>Forma kabelová na kabelu do 5x2</t>
  </si>
  <si>
    <t>692</t>
  </si>
  <si>
    <t>220100128</t>
  </si>
  <si>
    <t>Připojení kabelu na zářezový pásek do 5x2</t>
  </si>
  <si>
    <t>693</t>
  </si>
  <si>
    <t>220100129</t>
  </si>
  <si>
    <t>Proměření metalické kabeláže (port)</t>
  </si>
  <si>
    <t>694</t>
  </si>
  <si>
    <t>220100130</t>
  </si>
  <si>
    <t>Vystavení měřicího protokolu - metalika</t>
  </si>
  <si>
    <t>695</t>
  </si>
  <si>
    <t>220100131</t>
  </si>
  <si>
    <t>Příprava kabelu pro uložení do 100 žil</t>
  </si>
  <si>
    <t>696</t>
  </si>
  <si>
    <t>220100132</t>
  </si>
  <si>
    <t>Forma kabelová na kabelu do 50x2</t>
  </si>
  <si>
    <t>697</t>
  </si>
  <si>
    <t>220100133</t>
  </si>
  <si>
    <t>Připojení kabelu na zářezový pásek do 50x2</t>
  </si>
  <si>
    <t>698</t>
  </si>
  <si>
    <t>220100134</t>
  </si>
  <si>
    <t>Proměření optické kabeláže OTDR (link)</t>
  </si>
  <si>
    <t>699</t>
  </si>
  <si>
    <t>220100135</t>
  </si>
  <si>
    <t>Vystavení měřicího protokolu - optika</t>
  </si>
  <si>
    <t>700</t>
  </si>
  <si>
    <t>220100136</t>
  </si>
  <si>
    <t>Protokolární předání</t>
  </si>
  <si>
    <t>701</t>
  </si>
  <si>
    <t>220100137</t>
  </si>
  <si>
    <t>Doprava a přesun materiálu</t>
  </si>
  <si>
    <t>702</t>
  </si>
  <si>
    <t>220100138</t>
  </si>
  <si>
    <t>Podružný materiál</t>
  </si>
  <si>
    <t>M22-2</t>
  </si>
  <si>
    <t>Montáže sdělovací a zabezpečovací techniky - Elektrická  zabezpečovací signalizace</t>
  </si>
  <si>
    <t>703</t>
  </si>
  <si>
    <t>220200101</t>
  </si>
  <si>
    <t>Ústředna s vestavěným GSM/GPRS komunikátorem, až 120 bezdrátových a až 230 sběrnicových</t>
  </si>
  <si>
    <t>M22-2_</t>
  </si>
  <si>
    <t>704</t>
  </si>
  <si>
    <t>220200102</t>
  </si>
  <si>
    <t>Víceúčelová montážní krabice - střední velikost</t>
  </si>
  <si>
    <t>705</t>
  </si>
  <si>
    <t>220200103</t>
  </si>
  <si>
    <t>Zálohovací akumulátor 12V, 18Ah</t>
  </si>
  <si>
    <t>706</t>
  </si>
  <si>
    <t>220200104</t>
  </si>
  <si>
    <t>Sběrnicový přístup. modul s displejem, klávesnicí a RFID,</t>
  </si>
  <si>
    <t>707</t>
  </si>
  <si>
    <t>220200105</t>
  </si>
  <si>
    <t>Ovládací segment přístupových modulů</t>
  </si>
  <si>
    <t>708</t>
  </si>
  <si>
    <t>220200106</t>
  </si>
  <si>
    <t>Sběrnicový PIR detektor pohybu</t>
  </si>
  <si>
    <t>709</t>
  </si>
  <si>
    <t>220200107</t>
  </si>
  <si>
    <t>Instalační kabel EZS</t>
  </si>
  <si>
    <t>710</t>
  </si>
  <si>
    <t>220200108</t>
  </si>
  <si>
    <t>Trubka ohebná PVC pr.16, mechanická odolnost 320N</t>
  </si>
  <si>
    <t>711</t>
  </si>
  <si>
    <t>220200109</t>
  </si>
  <si>
    <t>Protahovací vodič</t>
  </si>
  <si>
    <t>220200110</t>
  </si>
  <si>
    <t>Krabice odbočná pr.97, pod omítku</t>
  </si>
  <si>
    <t>220200111</t>
  </si>
  <si>
    <t>714</t>
  </si>
  <si>
    <t>220200112</t>
  </si>
  <si>
    <t>Lišta vkládací 40x20</t>
  </si>
  <si>
    <t>715</t>
  </si>
  <si>
    <t>220200113</t>
  </si>
  <si>
    <t>Lišta vkládací 20x20</t>
  </si>
  <si>
    <t>716</t>
  </si>
  <si>
    <t>220200114</t>
  </si>
  <si>
    <t>Sestavení programu pro ústřednu</t>
  </si>
  <si>
    <t>717</t>
  </si>
  <si>
    <t>220200115</t>
  </si>
  <si>
    <t>Uvedení systému do provozu</t>
  </si>
  <si>
    <t>718</t>
  </si>
  <si>
    <t>220200116</t>
  </si>
  <si>
    <t>Protokolární předání, seznámení s obsluhou, zaškolení</t>
  </si>
  <si>
    <t>719</t>
  </si>
  <si>
    <t>220200117</t>
  </si>
  <si>
    <t>Dokumentace skutečného provedení</t>
  </si>
  <si>
    <t>720</t>
  </si>
  <si>
    <t>220200118</t>
  </si>
  <si>
    <t>220200119</t>
  </si>
  <si>
    <t>M22-3</t>
  </si>
  <si>
    <t>Montáže sdělovací a zabezpečovací techniky - Společná televizní anténa</t>
  </si>
  <si>
    <t>220300101</t>
  </si>
  <si>
    <t>Oceloplechový rozvaděč 60x50 cm</t>
  </si>
  <si>
    <t>M22-3_</t>
  </si>
  <si>
    <t>723</t>
  </si>
  <si>
    <t>220300102</t>
  </si>
  <si>
    <t>Aktivní rozbočovač 4/1</t>
  </si>
  <si>
    <t>724</t>
  </si>
  <si>
    <t>220300103</t>
  </si>
  <si>
    <t>Zásuvka s podkrabicí 16 A / 230 V</t>
  </si>
  <si>
    <t>725</t>
  </si>
  <si>
    <t>220300104</t>
  </si>
  <si>
    <t>Propojovací kabely, F spojky a konektory, zakončovací odpory</t>
  </si>
  <si>
    <t>726</t>
  </si>
  <si>
    <t>220300105</t>
  </si>
  <si>
    <t>Zásuvka TV koncová</t>
  </si>
  <si>
    <t>727</t>
  </si>
  <si>
    <t>220300106</t>
  </si>
  <si>
    <t>Kabel koax KH21D vnitřní</t>
  </si>
  <si>
    <t>220300107</t>
  </si>
  <si>
    <t>729</t>
  </si>
  <si>
    <t>220300108</t>
  </si>
  <si>
    <t>730</t>
  </si>
  <si>
    <t>220300109</t>
  </si>
  <si>
    <t>220300110</t>
  </si>
  <si>
    <t>732</t>
  </si>
  <si>
    <t>220300111</t>
  </si>
  <si>
    <t>733</t>
  </si>
  <si>
    <t>220300112</t>
  </si>
  <si>
    <t>Prostup na střechu, berlovité zakočení</t>
  </si>
  <si>
    <t>734</t>
  </si>
  <si>
    <t>220300113</t>
  </si>
  <si>
    <t>735</t>
  </si>
  <si>
    <t>220300114</t>
  </si>
  <si>
    <t>Měření TV + R  signálů v místě příjmu před montáží</t>
  </si>
  <si>
    <t>736</t>
  </si>
  <si>
    <t>220300115</t>
  </si>
  <si>
    <t>Oživení, naladění, měření,  nastavení trasy</t>
  </si>
  <si>
    <t>737</t>
  </si>
  <si>
    <t>220300116</t>
  </si>
  <si>
    <t>Kontrolní měření na zásuvkách</t>
  </si>
  <si>
    <t>738</t>
  </si>
  <si>
    <t>220300117</t>
  </si>
  <si>
    <t>739</t>
  </si>
  <si>
    <t>220300118</t>
  </si>
  <si>
    <t>740</t>
  </si>
  <si>
    <t>220300119</t>
  </si>
  <si>
    <t>M22-4</t>
  </si>
  <si>
    <t>Montáže sdělovací a zabezpečovací techniky - Rozhlas</t>
  </si>
  <si>
    <t>741</t>
  </si>
  <si>
    <t>220400101</t>
  </si>
  <si>
    <t>Nástěnný reproduktor</t>
  </si>
  <si>
    <t>M22-4_</t>
  </si>
  <si>
    <t>742</t>
  </si>
  <si>
    <t>220400102</t>
  </si>
  <si>
    <t>Regelátor hlasitosti</t>
  </si>
  <si>
    <t>743</t>
  </si>
  <si>
    <t>220400103</t>
  </si>
  <si>
    <t>CYKY 2x1,5</t>
  </si>
  <si>
    <t>744</t>
  </si>
  <si>
    <t>220400104</t>
  </si>
  <si>
    <t>Trubka ohebná PVC pr.28, mechanická odolnost 320N</t>
  </si>
  <si>
    <t>745</t>
  </si>
  <si>
    <t>220400105</t>
  </si>
  <si>
    <t>746</t>
  </si>
  <si>
    <t>220400106</t>
  </si>
  <si>
    <t>747</t>
  </si>
  <si>
    <t>220400107</t>
  </si>
  <si>
    <t>748</t>
  </si>
  <si>
    <t>220400108</t>
  </si>
  <si>
    <t>749</t>
  </si>
  <si>
    <t>220400109</t>
  </si>
  <si>
    <t>750</t>
  </si>
  <si>
    <t>220400110</t>
  </si>
  <si>
    <t>Výchozí revize, vypracování revizní zprávy</t>
  </si>
  <si>
    <t>751</t>
  </si>
  <si>
    <t>220400111</t>
  </si>
  <si>
    <t>Protipožární utěsnění systémem Intumex nebo jiným</t>
  </si>
  <si>
    <t>752</t>
  </si>
  <si>
    <t>220400112</t>
  </si>
  <si>
    <t>753</t>
  </si>
  <si>
    <t>220400113</t>
  </si>
  <si>
    <t>754</t>
  </si>
  <si>
    <t>220400114</t>
  </si>
  <si>
    <t>M22-5</t>
  </si>
  <si>
    <t>Montáže sdělovací a zabezpečovací techniky - Hodiny</t>
  </si>
  <si>
    <t>755</t>
  </si>
  <si>
    <t>220500101</t>
  </si>
  <si>
    <t>Hodiny ručičkové řízené minutovými impulsy, nástěnné</t>
  </si>
  <si>
    <t>M22-5_</t>
  </si>
  <si>
    <t>756</t>
  </si>
  <si>
    <t>220500102</t>
  </si>
  <si>
    <t>Hodiny ručičkové řízené minutovými impulsy, zavěšené oboustranné, vč. závěsu</t>
  </si>
  <si>
    <t>757</t>
  </si>
  <si>
    <t>220500103</t>
  </si>
  <si>
    <t>758</t>
  </si>
  <si>
    <t>220500104</t>
  </si>
  <si>
    <t>759</t>
  </si>
  <si>
    <t>220500105</t>
  </si>
  <si>
    <t>760</t>
  </si>
  <si>
    <t>220500106</t>
  </si>
  <si>
    <t>761</t>
  </si>
  <si>
    <t>220500107</t>
  </si>
  <si>
    <t>220500108</t>
  </si>
  <si>
    <t>763</t>
  </si>
  <si>
    <t>220500109</t>
  </si>
  <si>
    <t>220500110</t>
  </si>
  <si>
    <t>765</t>
  </si>
  <si>
    <t>220500111</t>
  </si>
  <si>
    <t>220500112</t>
  </si>
  <si>
    <t>220500113</t>
  </si>
  <si>
    <t>768</t>
  </si>
  <si>
    <t>220500114</t>
  </si>
  <si>
    <t>M22-6</t>
  </si>
  <si>
    <t>Montáže sdělovací a zabezpečovací techniky - Společné náklady</t>
  </si>
  <si>
    <t>769</t>
  </si>
  <si>
    <t>220600101</t>
  </si>
  <si>
    <t>EPS 2 ekvipotencionální svorkovnice</t>
  </si>
  <si>
    <t>M22-6_</t>
  </si>
  <si>
    <t>770</t>
  </si>
  <si>
    <t>220600102</t>
  </si>
  <si>
    <t>KO 125 E krabice odbočná</t>
  </si>
  <si>
    <t>220600103</t>
  </si>
  <si>
    <t>V 125 E víčko ke krabici KO 125E</t>
  </si>
  <si>
    <t>772</t>
  </si>
  <si>
    <t>220600104</t>
  </si>
  <si>
    <t>CY 6 mm2,, pevně</t>
  </si>
  <si>
    <t>773</t>
  </si>
  <si>
    <t>220600105</t>
  </si>
  <si>
    <t>Vysekání kapes ve zdivu cihelném 100x100x50 mm</t>
  </si>
  <si>
    <t>774</t>
  </si>
  <si>
    <t>220600106</t>
  </si>
  <si>
    <t>Vysekání rýh ve zdivu cihelném - Hloubka 30 mm Sire 30 mm</t>
  </si>
  <si>
    <t>775</t>
  </si>
  <si>
    <t>220600107</t>
  </si>
  <si>
    <t>Vysekání rýh ve zdivu cihelném - Hloubka 30 mm Sire 70 mm</t>
  </si>
  <si>
    <t>220600108</t>
  </si>
  <si>
    <t>Protipožární utěsnění HILTI</t>
  </si>
  <si>
    <t>777</t>
  </si>
  <si>
    <t>220600109</t>
  </si>
  <si>
    <t>Průrazy příčkami - cihla, beton</t>
  </si>
  <si>
    <t>778</t>
  </si>
  <si>
    <t>220600110</t>
  </si>
  <si>
    <t>Kabelová lávka 60x150 včetně dílů upevňovacího systému</t>
  </si>
  <si>
    <t>779</t>
  </si>
  <si>
    <t>220600111</t>
  </si>
  <si>
    <t>Kabelový žlab 60x150 včetně dílů (přepážka, oblouky apod.), příslušenství a upevňovacího systému, s víkem</t>
  </si>
  <si>
    <t>780</t>
  </si>
  <si>
    <t>220600112</t>
  </si>
  <si>
    <t>Kabelový žlab 50x60 včetně dílů (přepážka, oblouky apod.), příslušenství a upevňovacího systému, s víkem</t>
  </si>
  <si>
    <t>M22-7</t>
  </si>
  <si>
    <t>Montáže sdělovací a zabezpečovací techniky - Elektrická požární signalizace</t>
  </si>
  <si>
    <t>220700101</t>
  </si>
  <si>
    <t>Deska linková - 128 adres</t>
  </si>
  <si>
    <t>M22-7_</t>
  </si>
  <si>
    <t>782</t>
  </si>
  <si>
    <t>220700102</t>
  </si>
  <si>
    <t>Zdroj v krytu EN54-3A17, IP 30, 24Vss/2A</t>
  </si>
  <si>
    <t>220700103</t>
  </si>
  <si>
    <t>Akumulátor 12V/7Ah</t>
  </si>
  <si>
    <t>220700104</t>
  </si>
  <si>
    <t>Hlásič kouře optický interaktivní s izolátorem</t>
  </si>
  <si>
    <t>785</t>
  </si>
  <si>
    <t>220700105</t>
  </si>
  <si>
    <t>Zásuvka pro adresovatelné a interaktivní hlásiče</t>
  </si>
  <si>
    <t>220700106</t>
  </si>
  <si>
    <t>Hlásič tlačítkový adresovatelný</t>
  </si>
  <si>
    <t>787</t>
  </si>
  <si>
    <t>220700107</t>
  </si>
  <si>
    <t>Hlásič kouře teplotní</t>
  </si>
  <si>
    <t>788</t>
  </si>
  <si>
    <t>220700108</t>
  </si>
  <si>
    <t>Siréna ROLP/R/D s vestavěným modulem MHY 924 bez akumulátoru</t>
  </si>
  <si>
    <t>789</t>
  </si>
  <si>
    <t>220700109</t>
  </si>
  <si>
    <t>Prvek vstupně /výstupní (1xIN/1xOUT) v krabici</t>
  </si>
  <si>
    <t>790</t>
  </si>
  <si>
    <t>220700110</t>
  </si>
  <si>
    <t>Jednotka vstupně/výstupní (4xIN/4xOUT) v krabici</t>
  </si>
  <si>
    <t>791</t>
  </si>
  <si>
    <t>220700111</t>
  </si>
  <si>
    <t>Telekomunikační rozvaděč MRK20</t>
  </si>
  <si>
    <t>792</t>
  </si>
  <si>
    <t>220700112</t>
  </si>
  <si>
    <t>Složený  tlačítkový vypínač, řazení č.1/0</t>
  </si>
  <si>
    <t>793</t>
  </si>
  <si>
    <t>220700113</t>
  </si>
  <si>
    <t>JY(St)Y_LG 1x2x0,8</t>
  </si>
  <si>
    <t>794</t>
  </si>
  <si>
    <t>220700114</t>
  </si>
  <si>
    <t>PRAFlaGuard F 2x2x0.8 - JE-H H BdFE 180 PH90 2x2x0,8</t>
  </si>
  <si>
    <t>795</t>
  </si>
  <si>
    <t>220700115</t>
  </si>
  <si>
    <t>Kabelová příchytka prům. 6 mm</t>
  </si>
  <si>
    <t>796</t>
  </si>
  <si>
    <t>220700116</t>
  </si>
  <si>
    <t>Kabelová příchytka PO prům. 6 mm</t>
  </si>
  <si>
    <t>797</t>
  </si>
  <si>
    <t>220700117</t>
  </si>
  <si>
    <t>Trubka tuhá z PVC, vč. příchytek</t>
  </si>
  <si>
    <t>798</t>
  </si>
  <si>
    <t>220700118</t>
  </si>
  <si>
    <t>Ochranná trubka ohebná, vč. příchytek</t>
  </si>
  <si>
    <t>799</t>
  </si>
  <si>
    <t>220700119</t>
  </si>
  <si>
    <t>800</t>
  </si>
  <si>
    <t>220700120</t>
  </si>
  <si>
    <t>Krabice instalační / rozvodná</t>
  </si>
  <si>
    <t>801</t>
  </si>
  <si>
    <t>220700121</t>
  </si>
  <si>
    <t>Lišta vkládací 24x22</t>
  </si>
  <si>
    <t>802</t>
  </si>
  <si>
    <t>220700122</t>
  </si>
  <si>
    <t>Lišta vkládací 40x40</t>
  </si>
  <si>
    <t>803</t>
  </si>
  <si>
    <t>220700123</t>
  </si>
  <si>
    <t>804</t>
  </si>
  <si>
    <t>220700124</t>
  </si>
  <si>
    <t>Parametrizace systému</t>
  </si>
  <si>
    <t>805</t>
  </si>
  <si>
    <t>220700125</t>
  </si>
  <si>
    <t>Nastavení a oživení, zkušební provoz</t>
  </si>
  <si>
    <t>806</t>
  </si>
  <si>
    <t>220700126</t>
  </si>
  <si>
    <t>Funkční zkoušky hlásičů</t>
  </si>
  <si>
    <t>807</t>
  </si>
  <si>
    <t>220700127</t>
  </si>
  <si>
    <t>808</t>
  </si>
  <si>
    <t>220700128</t>
  </si>
  <si>
    <t>809</t>
  </si>
  <si>
    <t>220700129</t>
  </si>
  <si>
    <t>810</t>
  </si>
  <si>
    <t>220700130</t>
  </si>
  <si>
    <t>811</t>
  </si>
  <si>
    <t>220700131</t>
  </si>
  <si>
    <t>812</t>
  </si>
  <si>
    <t>220700132</t>
  </si>
  <si>
    <t>VORN</t>
  </si>
  <si>
    <t>Vedlejší a ostatní rozpočtové náklady</t>
  </si>
  <si>
    <t>01VRN</t>
  </si>
  <si>
    <t>Průzkumy, geodetické a projektové práce</t>
  </si>
  <si>
    <t>813</t>
  </si>
  <si>
    <t>013003VRN</t>
  </si>
  <si>
    <t>Dokumentace skutečného provedení stavby</t>
  </si>
  <si>
    <t>01VRN_</t>
  </si>
  <si>
    <t>Â _</t>
  </si>
  <si>
    <t>814</t>
  </si>
  <si>
    <t>013004VRN</t>
  </si>
  <si>
    <t>Výrobní a dílenská dokumentace</t>
  </si>
  <si>
    <t>03VRN</t>
  </si>
  <si>
    <t>Zařízení staveniště</t>
  </si>
  <si>
    <t>815</t>
  </si>
  <si>
    <t>030001VRN</t>
  </si>
  <si>
    <t>03VRN_</t>
  </si>
  <si>
    <t>04VRN</t>
  </si>
  <si>
    <t>Inženýrské činnosti</t>
  </si>
  <si>
    <t>816</t>
  </si>
  <si>
    <t>040001VRN</t>
  </si>
  <si>
    <t>Koordinační a kompletační činnost</t>
  </si>
  <si>
    <t>04VRN_</t>
  </si>
  <si>
    <t>817</t>
  </si>
  <si>
    <t>043002VRN</t>
  </si>
  <si>
    <t>Revize a zkoušky</t>
  </si>
  <si>
    <t>06VRN</t>
  </si>
  <si>
    <t>Územní vlivy</t>
  </si>
  <si>
    <t>818</t>
  </si>
  <si>
    <t>060001VRN</t>
  </si>
  <si>
    <t>06VRN_</t>
  </si>
  <si>
    <t>07VRN</t>
  </si>
  <si>
    <t>Provozní vlivy</t>
  </si>
  <si>
    <t>819</t>
  </si>
  <si>
    <t>070001VRN</t>
  </si>
  <si>
    <t>07VRN_</t>
  </si>
  <si>
    <t>Celkem:</t>
  </si>
  <si>
    <t>Poznámka:</t>
  </si>
  <si>
    <t>Slepý stavební rozpočet - Jen skupiny</t>
  </si>
  <si>
    <t>Svislé a kompletní konstrukce</t>
  </si>
  <si>
    <t>T</t>
  </si>
  <si>
    <t>Vodorovné konstrukce</t>
  </si>
  <si>
    <t>Úpravy povrchů a osazování výplní otvorů</t>
  </si>
  <si>
    <t>Izolace</t>
  </si>
  <si>
    <t>Zdravotně technické instalace</t>
  </si>
  <si>
    <t>Ústřední vytápění</t>
  </si>
  <si>
    <t>Konstrukce</t>
  </si>
  <si>
    <t>Podlahy</t>
  </si>
  <si>
    <t>Dokončovací práce</t>
  </si>
  <si>
    <t>Dokončovací práce, demolice</t>
  </si>
  <si>
    <t>Â </t>
  </si>
  <si>
    <t>Slepý stavební rozpočet - Jen podskupiny</t>
  </si>
  <si>
    <t>Slepý stavební rozpočet - rekapitulace</t>
  </si>
  <si>
    <t>Objekt</t>
  </si>
  <si>
    <t>Náklady (Kč) - dodávka</t>
  </si>
  <si>
    <t>Náklady (Kč) - Montáž</t>
  </si>
  <si>
    <t>Náklady (Kč) - celkem</t>
  </si>
  <si>
    <t>F</t>
  </si>
  <si>
    <t>Výkaz výměr</t>
  </si>
  <si>
    <t>Potřebné množství</t>
  </si>
  <si>
    <t>0,445*2,1*0,25+0,365*2,1*0,25+0,305*2,1*0,25</t>
  </si>
  <si>
    <t>0,35*2,1*0,25</t>
  </si>
  <si>
    <t>0,675*2,1*0,25+1,0*2,1*0,25</t>
  </si>
  <si>
    <t>2,0*2,1*0,25</t>
  </si>
  <si>
    <t>1,3*0,12*0,25*5+1,5*0,14*0,25+2,15*0,14*0,25+3,15*0,16*0,35</t>
  </si>
  <si>
    <t>(1,3*12+1,45*2)*0,0104</t>
  </si>
  <si>
    <t>0,8*0,0081</t>
  </si>
  <si>
    <t>;ztratné 5%; 0,0003</t>
  </si>
  <si>
    <t>;ztratné 5%; 0,0096</t>
  </si>
  <si>
    <t>(1,5+2,15*2+2,2)*0,0129</t>
  </si>
  <si>
    <t>3,15*3*0,0158</t>
  </si>
  <si>
    <t>;ztratné 5%; 0,00515</t>
  </si>
  <si>
    <t>;ztratné 5%; 0,00745</t>
  </si>
  <si>
    <t>(1,175+1,665+1,2+1,675)*2,85+0,9*2,05+3,815*2,85+(1,98+1,46+2,845+2,49)*2,85-0,9*2,05*2</t>
  </si>
  <si>
    <t>(1,125+1,7+1,125+1,53)*1,25</t>
  </si>
  <si>
    <t>(2,625+1,745)*2,85-0,8*2,05+1,7*2,85</t>
  </si>
  <si>
    <t>(3,425*2,85)-0,8*2,05*2</t>
  </si>
  <si>
    <t>3,55*2,85</t>
  </si>
  <si>
    <t>0,505*2,85</t>
  </si>
  <si>
    <t>6,22*2,85-1,2*2,05-1,25*2,05</t>
  </si>
  <si>
    <t>(5,35+3,25)*2,85-0,8*2,05*2</t>
  </si>
  <si>
    <t>(1,675+1,675)*2,85+5,125*2,85+0,8*2,05+1,7*2,85+0,5*2,85-0,8*2,05+5,35*2,85+3,9*2,85+2,65*2,1-1,2*2,1-1,0*2,1+2,34*2,85+(4,4+2,7)*2,85</t>
  </si>
  <si>
    <t>1,025*2,85-0,8*2,05</t>
  </si>
  <si>
    <t>(5,245+4,355+5,245)*2,85-1,2*2,05</t>
  </si>
  <si>
    <t>2,85*2,85</t>
  </si>
  <si>
    <t>2,375*2,85-0,9*2,05</t>
  </si>
  <si>
    <t>5+1</t>
  </si>
  <si>
    <t>76,265*2</t>
  </si>
  <si>
    <t>72,833+6,481+10,117+1,439+33,934+85,916+39,848*2+43,448+4,346</t>
  </si>
  <si>
    <t>95,115*2,85-0,9*2,05*4-1,2*2,05</t>
  </si>
  <si>
    <t>10,78+5,562</t>
  </si>
  <si>
    <t>(1,165+1,745*2+1,36)*2,85-0,8*2,05*2</t>
  </si>
  <si>
    <t>(0,9+0,65)*0,825+0,65*0,825</t>
  </si>
  <si>
    <t>22+2</t>
  </si>
  <si>
    <t>4+1</t>
  </si>
  <si>
    <t>32+4</t>
  </si>
  <si>
    <t>24+1</t>
  </si>
  <si>
    <t>0,505*2,85+0,5*2,85+0,9*2,85+0,5*2,85</t>
  </si>
  <si>
    <t>(1,175+1,665+1,2+1,675)*2,85+(1,98+1,46)*2,85</t>
  </si>
  <si>
    <t>(1,675+1,675)*2,85+1,7*2,85</t>
  </si>
  <si>
    <t>1,675*1,5+32,732*2,85</t>
  </si>
  <si>
    <t>5,35*2,87-0,8*2,1</t>
  </si>
  <si>
    <t>(1,15*2+1,75)*3,2-0,8*2,05+(1,87+0,44)*3,2</t>
  </si>
  <si>
    <t>(2,85+2,275)*2,85-1,2*1,0</t>
  </si>
  <si>
    <t>2,87</t>
  </si>
  <si>
    <t>1,3*0,74*5+1,5*0,78+2,15*0,78+3,15*1,02*3</t>
  </si>
  <si>
    <t>1,3*0,74*2+1,45*0,74</t>
  </si>
  <si>
    <t>(2,2*2+1,345*2+2,865*2+1,525)*2,85+0,9*2,85</t>
  </si>
  <si>
    <t>1,36*2,85+1,4*2,85</t>
  </si>
  <si>
    <t>10,78*1,0</t>
  </si>
  <si>
    <t>(6,195+1,98+1,88+2,49)*2,87</t>
  </si>
  <si>
    <t>1,525*2,85</t>
  </si>
  <si>
    <t>1,825*1,2</t>
  </si>
  <si>
    <t>1,175*2,87</t>
  </si>
  <si>
    <t>1,165*2,85+0,9*2,5</t>
  </si>
  <si>
    <t>(1,345*2+1,525)*2,85+0,9*2,85</t>
  </si>
  <si>
    <t>1,165*2,85+0,9*2,5+1,36*2,85+1,4*2,85</t>
  </si>
  <si>
    <t>1,14*0,15*0,3</t>
  </si>
  <si>
    <t>18,28+26,88+24,33</t>
  </si>
  <si>
    <t>12,6+6,51+2,1</t>
  </si>
  <si>
    <t>26,83+26,33</t>
  </si>
  <si>
    <t>3,45+1,77+1,45+1,73</t>
  </si>
  <si>
    <t>2,35+1,85+3,37+2,52+5,08+2,53+1,57+2,64+1,83</t>
  </si>
  <si>
    <t>1,71+1,94</t>
  </si>
  <si>
    <t>17,09+7,68+48,41+26,16+18,0+15,6+9,17+22,65+12,95+7,18+10,86+14,87+8,99+12,75+6,51+27,75+2,1+14,46+9,33+23,26+10,02+15,23</t>
  </si>
  <si>
    <t>2,1+15,14+6,48+23,27+5,17+22,28+5,64+8,45+18,7+2,33</t>
  </si>
  <si>
    <t>2,35+11,5+1,85+3,37+36,42+2,52+6,6+5,08+2,53+1,57+2,64+1,83</t>
  </si>
  <si>
    <t>2,67+2,52+2,03</t>
  </si>
  <si>
    <t>1,77+1,45+1,73</t>
  </si>
  <si>
    <t>1,85+1,57+1,83</t>
  </si>
  <si>
    <t>2,1</t>
  </si>
  <si>
    <t>3,45+2,35+3,37+2,52+2,53+2,64</t>
  </si>
  <si>
    <t>2,35+3,37+2,52+2,53+2,64</t>
  </si>
  <si>
    <t>2,1+2,33+2,67+2,52+2,03</t>
  </si>
  <si>
    <t>(24,19+27,0+6,14+17,4+7,3+35,39+6,35+5,44+7,68+9,14+6,38+5,05+11,05+5,45)*0,35</t>
  </si>
  <si>
    <t>1,65*2+1,5</t>
  </si>
  <si>
    <t>31,755</t>
  </si>
  <si>
    <t>(3,75*3+3,5)*2</t>
  </si>
  <si>
    <t>1,0*1,2*3+1,2*1,2*3</t>
  </si>
  <si>
    <t>24,975+70,713+5,398+23,63+29,733+2,72+3,84+41,75+9,085+49,023+59,174+4,37+20,915+6,078+31,554+25,027+37,628+39,218+3,2+2,725+35,295+32,468+5,25+4,905+4,055+30,452+2,725+31,868+48,208+14,664+40,83</t>
  </si>
  <si>
    <t>119,086</t>
  </si>
  <si>
    <t>(4,7+5,325+2,4+1,375+3,0+1,95+0,25)*2*2,87-1,375*1,5*2-0,9*2,1-0,9*2,05-1,0*2,05*3-1,2*1,2*3+(5,35+6,14+0,6)*2*0,87-1,2*0,55</t>
  </si>
  <si>
    <t>(5,1*0,1)+(2,9*0,23*3)+(5,2*0,1)+(5,1*0,1+2,7*0,23*2)+(3,2*0,23)+(3,2*0,23)+(4,8*0,23)+(5,1*0,15+3,1*0,23)+(3,1*0,23)+(5,1*0,1)+(5,1*0,1+3,1*0,23)+(3,6*0,23)+(3,2*0,23)+(3,2*0,23)+(5,95*0,25+3,6*0,23)</t>
  </si>
  <si>
    <t>(5,4*0,35+5,0*0,23)+(5,2*0,35)+(5,3*0,15)+(3,2*0,23)+(3,2*0,23)+(3,2*0,23+5,2*0,15)+(5,2*0,1+3,6*0,23)</t>
  </si>
  <si>
    <t>(1,0*2+1,2)*0,23*3+(1,2*3)*0,23*3</t>
  </si>
  <si>
    <t>1,0*0,15*5+1,1*0,15+2,15*0,25</t>
  </si>
  <si>
    <t>1,5*0,85+0,445*2,1*2+0,15*2,1+0,365*2,1*2+0,15*2,1+(0,305+0,205)*2,1+0,15*2,1+0,675*2,1*2+0,15*2,1+1,0*2,1*2</t>
  </si>
  <si>
    <t>860,562+25,89</t>
  </si>
  <si>
    <t>(1,75+1,2)*2*2,5-0,9*2,05</t>
  </si>
  <si>
    <t>(2,835+5,1)*2*2,85-0,8*2,05-0,9*2,05-(2,5+1,7)*1,5-1,2*1,0</t>
  </si>
  <si>
    <t>(2,85+0,9)*2*(2,5-1,8)-0,8*0,25</t>
  </si>
  <si>
    <t>(4,575+5,1)*2*2,85-1,0*2,05-0,9*2,05-1,2*1,0</t>
  </si>
  <si>
    <t>(1,645+1,36)*2*(2,5-1,8)-0,8*0,25-0,9*2,05</t>
  </si>
  <si>
    <t>(1,545+1,165)*2*(2,5-1,8)-0,8*0,25</t>
  </si>
  <si>
    <t>(1,97+2,625)*2*2,85-0,9*2,05</t>
  </si>
  <si>
    <t>(4,775+5,35)*2*2,85-1,2*1,2*2-1,0*2,05</t>
  </si>
  <si>
    <t>(1,85*1,05+1,85*0,2)+3,0*(1,05+0,2)/2*2-0,9*0,25*2</t>
  </si>
  <si>
    <t>(2,155+3,85)*2*2,85-1,0*2,05-0,8*2,05</t>
  </si>
  <si>
    <t>(3,91+5,35)*2*2,85-1,0*2,05-0,8*2,05-1,2*1,2</t>
  </si>
  <si>
    <t>(1,7+1,275)*2*2,5-0,9*2,05</t>
  </si>
  <si>
    <t>1,5*0,85</t>
  </si>
  <si>
    <t>56,0*0,07</t>
  </si>
  <si>
    <t>56,0*1,25*0,0042</t>
  </si>
  <si>
    <t>36,59+395,29</t>
  </si>
  <si>
    <t>6,48+22,28+8,45+18,7+2,33+15,14+23,27+5,17+5,64</t>
  </si>
  <si>
    <t>36,59</t>
  </si>
  <si>
    <t>395,29</t>
  </si>
  <si>
    <t>1,5+3,6</t>
  </si>
  <si>
    <t>1,5</t>
  </si>
  <si>
    <t>1,2*3</t>
  </si>
  <si>
    <t>(1+3)*2</t>
  </si>
  <si>
    <t>60,0+40,0</t>
  </si>
  <si>
    <t>510+135</t>
  </si>
  <si>
    <t>18,28+3,45+26,88+1,77+1,45+24,33+1,73</t>
  </si>
  <si>
    <t>145,71</t>
  </si>
  <si>
    <t>1,5*0,85*0,5</t>
  </si>
  <si>
    <t>(5,125*3+2,825+2,7)*2,87-0,9*2,05-0,8*2,05*2</t>
  </si>
  <si>
    <t>(1,625+1,15)*1,5+(5,125*2+1,55+0,9+1,425+1,025+1,175+0,65+0,7+1,025+1,475+1,225*2+1,175+1,525+2,85+5,35+5,9)*2,87-0,8*2,05*5</t>
  </si>
  <si>
    <t>(3,275+2,835+3,975)*2,87</t>
  </si>
  <si>
    <t>(1,125+1,7+1,125+1,53)*(3,65-2,0)</t>
  </si>
  <si>
    <t>(5,045*2,87)</t>
  </si>
  <si>
    <t>(5,045+3,5)*2,87-1,2*2,05</t>
  </si>
  <si>
    <t>(1,96+0,34)*1,5</t>
  </si>
  <si>
    <t>(2,865*3+1,25*2+1,525+0,8+0,55)*2,87</t>
  </si>
  <si>
    <t>43,544</t>
  </si>
  <si>
    <t>22,064*2+163,97</t>
  </si>
  <si>
    <t>14,479</t>
  </si>
  <si>
    <t>26,83+1,71+26,33+1,94</t>
  </si>
  <si>
    <t>27,08+5,64+11,88+25,15</t>
  </si>
  <si>
    <t>18,28+3,45+26,88+1,77+1,45+24,33+1,73+2,65*0,65</t>
  </si>
  <si>
    <t>7,68+24,3+3,37+14,53+8,26+1,28+1,69+1,53+15,61+7,27+1,28+21,5+14,81+8,2+1,33+7,22+13,38+12,02+12,8+12,52+22,73+41,61+1,98+1,69+1,53+11,55+14,46+23,11+25,15+22,73+23,06</t>
  </si>
  <si>
    <t>524,515</t>
  </si>
  <si>
    <t>39,41+27,08</t>
  </si>
  <si>
    <t>3,37+8,26+1,28+1,69+1,53+7,27+1,28+8,2+1,33+1,98+1,69+1,53</t>
  </si>
  <si>
    <t>27,8</t>
  </si>
  <si>
    <t>2,3+2,865+2,835+2,865+2,8*2+2,865+2,85+2,835+2,475+52,74+33,87+2,035+2,5+2,4+2,435+2,34+3,55+3,6+3,55+4,7</t>
  </si>
  <si>
    <t>4,7+2,4+2,7</t>
  </si>
  <si>
    <t>(4,825+2,06*2)*2,0+4,85*2,06+(4,15*2+2,05*3)*2,0+4,15*2,05+5,35*2,0</t>
  </si>
  <si>
    <t>8,575+4,25+2,915+4,55+12,79</t>
  </si>
  <si>
    <t>13,8+7,85</t>
  </si>
  <si>
    <t>20*3</t>
  </si>
  <si>
    <t>(0,5*4+0,7+2,1)*0,15+(2,1*2*2+1,0*2+2,1*2+0,725+0,31+2,12+0,41+2,1+0,65+2,1+0,6+2,1+0,15+2,1)*0,25+(2,65+2,1*2)*0,5</t>
  </si>
  <si>
    <t>8+13+4</t>
  </si>
  <si>
    <t>1+12+3</t>
  </si>
  <si>
    <t>12+3</t>
  </si>
  <si>
    <t>1+1</t>
  </si>
  <si>
    <t>0,8*2,05*11+0,9*2,05*14</t>
  </si>
  <si>
    <t>1,1*2,05*2</t>
  </si>
  <si>
    <t>1,5*1,7</t>
  </si>
  <si>
    <t>1,2*3+1,5</t>
  </si>
  <si>
    <t>0,31*2,1*0,25+0,41*2,1*0,25+0,15*2,1*0,25</t>
  </si>
  <si>
    <t>0,2*2,1*0,25</t>
  </si>
  <si>
    <t>1,0*2,1*0,25*2+0,725*2,1*0,25+0,65*2,1*0,25+0,6*2,1*0,25</t>
  </si>
  <si>
    <t>0,9*2,1*0,25+1,0*2,1*0,25</t>
  </si>
  <si>
    <t>2,65*2,1*0,5</t>
  </si>
  <si>
    <t>0,9*2,1+1,2*2,1+0,9*2,1+0,9*2,1</t>
  </si>
  <si>
    <t>0,8*2,1</t>
  </si>
  <si>
    <t>0,5*0,5*0,15+0,7*2,1*0,15</t>
  </si>
  <si>
    <t>2+4*5+2+4+6</t>
  </si>
  <si>
    <t>2*4*3</t>
  </si>
  <si>
    <t>45,552</t>
  </si>
  <si>
    <t>886,452</t>
  </si>
  <si>
    <t>133,627+29,889+269,464+130,528+136,612+186,332</t>
  </si>
  <si>
    <t>18,75</t>
  </si>
  <si>
    <t>1,8+14,36+27,04+7,7+7,06+8,32+23,84+7,3+25,44+7,9+3,15+2,925+3,125+2,7+2,85+10,1+7,048+8,3+3,9+4,875+5,055+5,055</t>
  </si>
  <si>
    <t>(5,35+6,14+0,6+0,1*2)*2*2,0-1,2*2,0-0,9*2,0-1,2*0,65+1,375*1,5*2</t>
  </si>
  <si>
    <t>16,442+38,859+14,749+18,813+0,983+4,559+13,024+0,169+0,458</t>
  </si>
  <si>
    <t>(16,442+38,859+14,749+18,813+0,983+4,559+13,024+0,169+0,458)*2</t>
  </si>
  <si>
    <t>108,056*19</t>
  </si>
  <si>
    <t>(16,442+38,859+14,749+18,813+0,983+4,559+13,024+0,169+0,458)*5</t>
  </si>
  <si>
    <t>16,442</t>
  </si>
  <si>
    <t>38,859</t>
  </si>
  <si>
    <t>14,749</t>
  </si>
  <si>
    <t>18,813</t>
  </si>
  <si>
    <t>0,983</t>
  </si>
  <si>
    <t>4,559</t>
  </si>
  <si>
    <t>13,024</t>
  </si>
  <si>
    <t>0,169</t>
  </si>
  <si>
    <t>0,458</t>
  </si>
  <si>
    <t>8,837+20,997+12,175+14,485+0,068+31,548+22,977+0,032+0,78+0,169</t>
  </si>
  <si>
    <t>4,4*0,67</t>
  </si>
  <si>
    <t>6,7*4,6</t>
  </si>
  <si>
    <t>0,803</t>
  </si>
  <si>
    <t>2,9*8,1+3,95*11,35+(10,05+13,4)*12,55+12,1*13,55+4,4*1,8+2,1*3,9</t>
  </si>
  <si>
    <t>542,675*2</t>
  </si>
  <si>
    <t>;ztratné 5%; 54,2675</t>
  </si>
  <si>
    <t>(4,4+2,85)*2,85</t>
  </si>
  <si>
    <t>542,685</t>
  </si>
  <si>
    <t>3,908</t>
  </si>
  <si>
    <t>0,787</t>
  </si>
  <si>
    <t>0,004</t>
  </si>
  <si>
    <t>11+1+1+1+2+4</t>
  </si>
  <si>
    <t>4+4</t>
  </si>
  <si>
    <t>3+1</t>
  </si>
  <si>
    <t>2+1+1</t>
  </si>
  <si>
    <t>2+1+2</t>
  </si>
  <si>
    <t>1+2+1+4</t>
  </si>
  <si>
    <t>8+2+2+3+1+1+4+1+4+2+1+1+2+1</t>
  </si>
  <si>
    <t>2,759</t>
  </si>
  <si>
    <t>40,0*0,8</t>
  </si>
  <si>
    <t>17,09+18,0+10,86+27,75</t>
  </si>
  <si>
    <t>15,14</t>
  </si>
  <si>
    <t>5710</t>
  </si>
  <si>
    <t>951</t>
  </si>
  <si>
    <t>24*43,03+2,6*15,8+20,0</t>
  </si>
  <si>
    <t>10,853</t>
  </si>
  <si>
    <t>2,35+11,5+1,85+3,37+5,08+2,53+1,57+6,51+2,64+1,83</t>
  </si>
  <si>
    <t>2,10+2,67+2,52+2,03</t>
  </si>
  <si>
    <t>39,23-2,53+9,32</t>
  </si>
  <si>
    <t>;ztratné 5%; 2,301</t>
  </si>
  <si>
    <t>2,53</t>
  </si>
  <si>
    <t>;ztratné 5%; 0,1265</t>
  </si>
  <si>
    <t>0,8+0,9+0,7+1,25+0,8+0,7+0,7+1,0+0,7</t>
  </si>
  <si>
    <t>0,8*2+0,7</t>
  </si>
  <si>
    <t>5,55+12,96+4,64+6,33+8,24+5,58+4,25+9,95+4,65</t>
  </si>
  <si>
    <t>2,35+1,85+3,37+2,53+1,57+2,64+1,83</t>
  </si>
  <si>
    <t>1,078</t>
  </si>
  <si>
    <t>44,582+9,9+18,92+14,22+14,15+19,59+14,15+9,8+14,8+14,6+14,67+14,48+19,3+33,7+14,15+14,12+18,4+18,1+19,3+19,4</t>
  </si>
  <si>
    <t>(3,0+1,95+0,25)*2-0,9+(2,4+5,35+0,1)*2-1,0+(4,7+5,35+0,1)*2-1,0</t>
  </si>
  <si>
    <t>(2,85+2,275)*2-0,9+(4,575+5,1)*2-0,9-1,0+(1,97+2,625)*2-0,9+(3,0+1,7)*2-0,9*2+(2,155+3,85)*2-0,8-0,9+(1,7+1,725)*2-0,9</t>
  </si>
  <si>
    <t>(4,775+5,35)*2-1,0-0,8+(3,91+5,35)*2-0,8*2-1,0</t>
  </si>
  <si>
    <t>(1,2+1,75)*2-0,9+(2,835+5,1)*2-0,8*2-0,9*3</t>
  </si>
  <si>
    <t>42,9+24,3+21,5+22,73+41,61+23,11+25,15+22,73+23,06</t>
  </si>
  <si>
    <t>25,15</t>
  </si>
  <si>
    <t>14,53+15,61+14,81+13,38+12,02+12,8+12,52+11,55+14,46</t>
  </si>
  <si>
    <t>11,88</t>
  </si>
  <si>
    <t>7,68+7,22</t>
  </si>
  <si>
    <t>5,64</t>
  </si>
  <si>
    <t>17,09+7,68+48,41+26,16+18,0+15,6+9,17+22,65+36,42+2,52+6,6+12,95+7,18+10,86+14,87+8,99+12,75+12,6+2,64+27,75+2,1+14,46+9,33+23,26+10,02+15,23</t>
  </si>
  <si>
    <t>395,29-152,84+15,14+23,27+5,17+5,64</t>
  </si>
  <si>
    <t>;ztratné 25%; 72,9175</t>
  </si>
  <si>
    <t>48,41+26,16+36,42+2,52+6,6+12,95+7,18+12,6+6,48+22,28+8,45+18,7+2,33</t>
  </si>
  <si>
    <t>;ztratné 25%; 52,77</t>
  </si>
  <si>
    <t>3,23</t>
  </si>
  <si>
    <t>1,35</t>
  </si>
  <si>
    <t>9,891+1,695+3,93+1,77+1,392+2,019+2,827+2,814+2,412+1,815+0,75+4,74+3,015+1,888+1,395</t>
  </si>
  <si>
    <t>259,688</t>
  </si>
  <si>
    <t>(2,5+1,7)*1,5+(2,85+0,9)*2*1,8-0,8*1,8+(1,645+1,36)*2*1,8-0,8*1,8-0,9*1,8+(1,54+1,165)*2*1,8-0,8*1,8+(3,0+1,85)*2*1,8-0,9*1,8*2</t>
  </si>
  <si>
    <t>9,0</t>
  </si>
  <si>
    <t>58,806+11,22+23,58+10,62+9,28+12,98+3,074+3,456+16,884+14,472+10,89+2,52+4,5+11,2+8,98+20,1+11,326+6,3+9,3+1,2</t>
  </si>
  <si>
    <t>259,688+48,636</t>
  </si>
  <si>
    <t>;ztratné 5%; 15,4162</t>
  </si>
  <si>
    <t>4,5</t>
  </si>
  <si>
    <t>32,97+5,85+13,1+5,9+4,64+6,73+3,456+9,38+8,04+6,05+1,4+2,5+5,6+4,65+10,05+6,292+4,2+4,65+0,8</t>
  </si>
  <si>
    <t>(2,85+0,9)*2-0,9+2,5+1,7+(1,645+1,36)*2-0,8-0,9+(1,545+1,165)*2-0,8+(3,0+1,85)*2-0,9*2</t>
  </si>
  <si>
    <t>6,3+1,175+1,8+1,8+3,6+3,6+3,6+3,6+3,6+1,175+2,0+1,5</t>
  </si>
  <si>
    <t>5,576</t>
  </si>
  <si>
    <t>0,32*2,87*8</t>
  </si>
  <si>
    <t>0,603*4,6*12*2</t>
  </si>
  <si>
    <t>0,4*7,6*51</t>
  </si>
  <si>
    <t>0,32*1,26*13</t>
  </si>
  <si>
    <t>234,2</t>
  </si>
  <si>
    <t>(0,8+2,05*2)*0,25*(2,0+4,0)</t>
  </si>
  <si>
    <t>(0,9+2,05*2)*0,25*(8,0+1,0+1,0+1,0)+(1,0+2,05*2)*0,25*(1,0+4,0)+(1,2+2,05*2)*0,25*(2,0+1,0)</t>
  </si>
  <si>
    <t>(0,9+2,05*2)*0,25*9+(1,2+2,05*2)*0,25*2+(1,0+2,1*2)*0,25+(0,8+2,1*2)*0,25+(1,2+2,05*2)*0,25</t>
  </si>
  <si>
    <t>(0,9+2,05*2)*0,25+(1,0+2,05*2)*0,25*2</t>
  </si>
  <si>
    <t>47,825+24,804+44,643+43,512+10,08+14,436+28,433+70,845</t>
  </si>
  <si>
    <t>(2,85+2,275)*2*2,85-0,9*2,05-1,2*1,0+(2,25+5,35)*2*2,85-1,2*1,2-1,0*1,2-1,125*1,5+(2,155+3,85)*2*2,85-1,0*2,05-0,8*2,05+(3,91+5,35)*2*2,85-1,0*2,05-0,8*2,05-1,2*1,2</t>
  </si>
  <si>
    <t>53,025</t>
  </si>
  <si>
    <t>860,562+25,89+1,452+14,043</t>
  </si>
  <si>
    <t>(1,0*2+1,2)*0,23*3+(1,2*3)*0,23*3+98,695</t>
  </si>
  <si>
    <t>77,89+358,18+73,7</t>
  </si>
  <si>
    <t>2,1+15,14+6,48+23,27+5,17+22,28+5,64+8,45+18,7+2,33+2,67+2,52+2,03</t>
  </si>
  <si>
    <t>14,955+2,275+14,248+12,313+2,048+3,84+27,368+15,44+35,972+21,905+3,07+15,272+1,646+5,987+12,824+1,595+1,175+15,675+8,127+3,35+2,555+3,42+2,135+3,42+15,248</t>
  </si>
  <si>
    <t>59,923</t>
  </si>
  <si>
    <t>7,68+48,41+2,35+11,5+26,16+1,85+3,37+15,6+9,17+22,65+36,42+2,52+6,6+5,08+12,95+7,18+14,87+8,99+2,53+1,57+12,75+12,6+6,51+2,64+2,1+14,46+1,83+9,33+23,26+10,02+15,23</t>
  </si>
  <si>
    <t>901,947</t>
  </si>
  <si>
    <t>245,863+59,923</t>
  </si>
  <si>
    <t>77,89+358,18</t>
  </si>
  <si>
    <t>20,64+2,475+8,64</t>
  </si>
  <si>
    <t>1,2*1,0*10</t>
  </si>
  <si>
    <t>1,2*1,2*6</t>
  </si>
  <si>
    <t>1,5*1,65</t>
  </si>
  <si>
    <t>1,8*1,6*3</t>
  </si>
  <si>
    <t>0,051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</si>
  <si>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</si>
  <si>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</si>
  <si>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</si>
  <si>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</si>
  <si>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</si>
  <si>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</si>
  <si>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</si>
  <si>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Náklady na umístění stavby (NUS)</t>
  </si>
  <si>
    <t>HSV</t>
  </si>
  <si>
    <t>Dodávky</t>
  </si>
  <si>
    <t>Práce přesčas</t>
  </si>
  <si>
    <t>Bez pevné podl.</t>
  </si>
  <si>
    <t>Mimostav. doprava</t>
  </si>
  <si>
    <t>PSV</t>
  </si>
  <si>
    <t>Kulturní památka</t>
  </si>
  <si>
    <t>"M"</t>
  </si>
  <si>
    <t>Ostatní</t>
  </si>
  <si>
    <t>NUS z rozpočtu</t>
  </si>
  <si>
    <t>Ostatní materiál</t>
  </si>
  <si>
    <t>Přesun hmot a sutí</t>
  </si>
  <si>
    <t>ZRN celkem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</si>
  <si>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</si>
  <si>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</si>
  <si>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</si>
  <si>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</si>
  <si>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</si>
  <si>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</si>
  <si>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</si>
  <si>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</si>
  <si>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</si>
  <si>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</si>
  <si>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</si>
  <si>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</si>
  <si>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</si>
  <si>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</si>
  <si>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</si>
  <si>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</si>
  <si>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</si>
  <si>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</si>
  <si>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</si>
  <si>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</si>
  <si>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</si>
  <si>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</si>
  <si>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</si>
  <si>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Příprava staveniště</t>
  </si>
  <si>
    <t>Finanční náklady</t>
  </si>
  <si>
    <t>Náklady na pracovníky</t>
  </si>
  <si>
    <t>Ostatní náklady</t>
  </si>
  <si>
    <t>Vlastní VORN</t>
  </si>
  <si>
    <t>Celkem VORN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</si>
</sst>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8"/>
      <color rgb="FF000000"/>
      <name val="Arial"/>
      <charset val="238"/>
    </font>
    <font>
      <i/>
      <sz val="9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9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4" fontId="2" fillId="2" borderId="29" xfId="0" applyNumberFormat="1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4" fontId="3" fillId="0" borderId="32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4" fontId="2" fillId="0" borderId="34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4" fontId="3" fillId="0" borderId="29" xfId="0" applyNumberFormat="1" applyFont="1" applyBorder="1" applyAlignment="1">
      <alignment horizontal="right" vertical="center"/>
    </xf>
    <xf numFmtId="4" fontId="3" fillId="0" borderId="30" xfId="0" applyNumberFormat="1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33" xfId="0" applyNumberFormat="1" applyFont="1" applyBorder="1" applyAlignment="1">
      <alignment horizontal="right" vertical="center"/>
    </xf>
    <xf numFmtId="0" fontId="2" fillId="0" borderId="42" xfId="0" applyFont="1" applyBorder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2" fillId="0" borderId="43" xfId="0" applyFont="1" applyBorder="1" applyAlignment="1">
      <alignment horizontal="left" vertical="center"/>
    </xf>
    <xf numFmtId="0" fontId="2" fillId="0" borderId="46" xfId="0" applyFont="1" applyBorder="1" applyAlignment="1">
      <alignment horizontal="right" vertical="center"/>
    </xf>
    <xf numFmtId="0" fontId="2" fillId="0" borderId="47" xfId="0" applyFont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right" vertical="center"/>
    </xf>
    <xf numFmtId="0" fontId="0" fillId="0" borderId="5" xfId="0" applyBorder="1"/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0" fontId="0" fillId="0" borderId="6" xfId="0" applyBorder="1"/>
    <xf numFmtId="0" fontId="2" fillId="2" borderId="5" xfId="0" applyFont="1" applyFill="1" applyBorder="1" applyAlignment="1">
      <alignment horizontal="left" vertical="center"/>
    </xf>
    <xf numFmtId="0" fontId="0" fillId="0" borderId="31" xfId="0" applyBorder="1"/>
    <xf numFmtId="0" fontId="0" fillId="0" borderId="32" xfId="0" applyBorder="1"/>
    <xf numFmtId="0" fontId="5" fillId="0" borderId="32" xfId="0" applyFont="1" applyBorder="1" applyAlignment="1">
      <alignment horizontal="left" vertical="center"/>
    </xf>
    <xf numFmtId="4" fontId="5" fillId="0" borderId="32" xfId="0" applyNumberFormat="1" applyFont="1" applyBorder="1" applyAlignment="1">
      <alignment horizontal="right" vertical="center"/>
    </xf>
    <xf numFmtId="0" fontId="0" fillId="0" borderId="33" xfId="0" applyBorder="1"/>
    <xf numFmtId="0" fontId="7" fillId="2" borderId="49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4" fontId="10" fillId="0" borderId="54" xfId="0" applyNumberFormat="1" applyFont="1" applyBorder="1" applyAlignment="1">
      <alignment horizontal="right" vertical="center"/>
    </xf>
    <xf numFmtId="0" fontId="10" fillId="0" borderId="54" xfId="0" applyFont="1" applyBorder="1" applyAlignment="1">
      <alignment horizontal="right" vertical="center"/>
    </xf>
    <xf numFmtId="0" fontId="9" fillId="0" borderId="57" xfId="0" applyFont="1" applyBorder="1" applyAlignment="1">
      <alignment horizontal="left" vertical="center"/>
    </xf>
    <xf numFmtId="4" fontId="10" fillId="0" borderId="61" xfId="0" applyNumberFormat="1" applyFont="1" applyBorder="1" applyAlignment="1">
      <alignment horizontal="right" vertical="center"/>
    </xf>
    <xf numFmtId="0" fontId="10" fillId="0" borderId="61" xfId="0" applyFont="1" applyBorder="1" applyAlignment="1">
      <alignment horizontal="right" vertical="center"/>
    </xf>
    <xf numFmtId="4" fontId="10" fillId="0" borderId="52" xfId="0" applyNumberFormat="1" applyFont="1" applyBorder="1" applyAlignment="1">
      <alignment horizontal="right" vertical="center"/>
    </xf>
    <xf numFmtId="4" fontId="10" fillId="0" borderId="25" xfId="0" applyNumberFormat="1" applyFont="1" applyBorder="1" applyAlignment="1">
      <alignment horizontal="right" vertical="center"/>
    </xf>
    <xf numFmtId="4" fontId="9" fillId="2" borderId="51" xfId="0" applyNumberFormat="1" applyFont="1" applyFill="1" applyBorder="1" applyAlignment="1">
      <alignment horizontal="right" vertical="center"/>
    </xf>
    <xf numFmtId="4" fontId="9" fillId="2" borderId="56" xfId="0" applyNumberFormat="1" applyFont="1" applyFill="1" applyBorder="1" applyAlignment="1">
      <alignment horizontal="right" vertical="center"/>
    </xf>
    <xf numFmtId="0" fontId="4" fillId="0" borderId="29" xfId="0" applyFont="1" applyBorder="1" applyAlignment="1">
      <alignment horizontal="left" vertical="center"/>
    </xf>
    <xf numFmtId="0" fontId="2" fillId="0" borderId="75" xfId="0" applyFont="1" applyBorder="1" applyAlignment="1">
      <alignment horizontal="right" vertical="center"/>
    </xf>
    <xf numFmtId="4" fontId="3" fillId="0" borderId="54" xfId="0" applyNumberFormat="1" applyFont="1" applyBorder="1" applyAlignment="1">
      <alignment horizontal="right" vertical="center"/>
    </xf>
    <xf numFmtId="0" fontId="3" fillId="0" borderId="54" xfId="0" applyFont="1" applyBorder="1" applyAlignment="1">
      <alignment horizontal="left" vertical="center"/>
    </xf>
    <xf numFmtId="4" fontId="3" fillId="0" borderId="79" xfId="0" applyNumberFormat="1" applyFont="1" applyBorder="1" applyAlignment="1">
      <alignment horizontal="right" vertical="center"/>
    </xf>
    <xf numFmtId="0" fontId="3" fillId="0" borderId="79" xfId="0" applyFont="1" applyBorder="1" applyAlignment="1">
      <alignment horizontal="left" vertical="center"/>
    </xf>
    <xf numFmtId="0" fontId="2" fillId="0" borderId="83" xfId="0" applyFont="1" applyBorder="1" applyAlignment="1">
      <alignment horizontal="left" vertical="center"/>
    </xf>
    <xf numFmtId="0" fontId="2" fillId="0" borderId="83" xfId="0" applyFont="1" applyBorder="1" applyAlignment="1">
      <alignment horizontal="right" vertical="center"/>
    </xf>
    <xf numFmtId="4" fontId="2" fillId="0" borderId="83" xfId="0" applyNumberFormat="1" applyFont="1" applyBorder="1" applyAlignment="1">
      <alignment horizontal="right" vertical="center"/>
    </xf>
    <xf numFmtId="0" fontId="2" fillId="0" borderId="85" xfId="0" applyFont="1" applyBorder="1" applyAlignment="1">
      <alignment horizontal="left" vertical="center"/>
    </xf>
    <xf numFmtId="0" fontId="2" fillId="0" borderId="86" xfId="0" applyFont="1" applyBorder="1" applyAlignment="1">
      <alignment horizontal="left" vertical="center"/>
    </xf>
    <xf numFmtId="0" fontId="2" fillId="0" borderId="87" xfId="0" applyFont="1" applyBorder="1" applyAlignment="1">
      <alignment horizontal="left" vertical="center"/>
    </xf>
    <xf numFmtId="0" fontId="0" fillId="0" borderId="88" xfId="0" applyBorder="1"/>
    <xf numFmtId="0" fontId="2" fillId="0" borderId="89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0" fontId="10" fillId="0" borderId="7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10" fillId="0" borderId="74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73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10" fillId="0" borderId="69" xfId="0" applyFont="1" applyBorder="1" applyAlignment="1">
      <alignment horizontal="left" vertical="center"/>
    </xf>
    <xf numFmtId="0" fontId="10" fillId="0" borderId="72" xfId="0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2" borderId="63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0" fontId="9" fillId="2" borderId="58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0" fontId="9" fillId="2" borderId="50" xfId="0" applyFont="1" applyFill="1" applyBorder="1" applyAlignment="1">
      <alignment horizontal="left" vertical="center"/>
    </xf>
    <xf numFmtId="0" fontId="9" fillId="2" borderId="55" xfId="0" applyFont="1" applyFill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6" fillId="0" borderId="48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79" xfId="0" applyFont="1" applyBorder="1" applyAlignment="1">
      <alignment horizontal="left" vertical="center"/>
    </xf>
    <xf numFmtId="0" fontId="3" fillId="0" borderId="77" xfId="0" applyFont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78" xfId="0" applyFont="1" applyBorder="1" applyAlignment="1">
      <alignment horizontal="left" vertical="center"/>
    </xf>
    <xf numFmtId="0" fontId="2" fillId="0" borderId="80" xfId="0" applyFont="1" applyBorder="1" applyAlignment="1">
      <alignment horizontal="left" vertical="center"/>
    </xf>
    <xf numFmtId="0" fontId="2" fillId="0" borderId="81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9" fillId="0" borderId="80" xfId="0" applyFont="1" applyBorder="1" applyAlignment="1">
      <alignment horizontal="left" vertical="center"/>
    </xf>
    <xf numFmtId="0" fontId="9" fillId="0" borderId="81" xfId="0" applyFont="1" applyBorder="1" applyAlignment="1">
      <alignment horizontal="left" vertical="center"/>
    </xf>
    <xf numFmtId="0" fontId="9" fillId="0" borderId="82" xfId="0" applyFont="1" applyBorder="1" applyAlignment="1">
      <alignment horizontal="left" vertical="center"/>
    </xf>
    <xf numFmtId="4" fontId="9" fillId="0" borderId="84" xfId="0" applyNumberFormat="1" applyFont="1" applyBorder="1" applyAlignment="1">
      <alignment horizontal="right" vertical="center"/>
    </xf>
    <xf numFmtId="0" fontId="9" fillId="0" borderId="81" xfId="0" applyFont="1" applyBorder="1" applyAlignment="1">
      <alignment horizontal="right" vertical="center"/>
    </xf>
    <xf numFmtId="0" fontId="9" fillId="0" borderId="82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workbookViewId="0">
      <selection activeCell="P26" sqref="P2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37" t="s">
        <v>2868</v>
      </c>
      <c r="B1" s="138"/>
      <c r="C1" s="138"/>
      <c r="D1" s="138"/>
      <c r="E1" s="138"/>
      <c r="F1" s="138"/>
      <c r="G1" s="138"/>
      <c r="H1" s="138"/>
      <c r="I1" s="138"/>
    </row>
    <row r="2" spans="1:9" x14ac:dyDescent="0.25">
      <c r="A2" s="139" t="s">
        <v>1</v>
      </c>
      <c r="B2" s="140"/>
      <c r="C2" s="134" t="str">
        <f>'Stavební rozpočet'!C2</f>
        <v>Modernizace 4.NP Hlavního pavilonu nemocnice Semily</v>
      </c>
      <c r="D2" s="135"/>
      <c r="E2" s="131" t="s">
        <v>5</v>
      </c>
      <c r="F2" s="131" t="str">
        <f>'Stavební rozpočet'!I2</f>
        <v> </v>
      </c>
      <c r="G2" s="140"/>
      <c r="H2" s="131" t="s">
        <v>2869</v>
      </c>
      <c r="I2" s="142" t="s">
        <v>46</v>
      </c>
    </row>
    <row r="3" spans="1:9" ht="15" customHeight="1" x14ac:dyDescent="0.25">
      <c r="A3" s="141"/>
      <c r="B3" s="94"/>
      <c r="C3" s="136"/>
      <c r="D3" s="136"/>
      <c r="E3" s="94"/>
      <c r="F3" s="94"/>
      <c r="G3" s="94"/>
      <c r="H3" s="94"/>
      <c r="I3" s="143"/>
    </row>
    <row r="4" spans="1:9" x14ac:dyDescent="0.25">
      <c r="A4" s="132" t="s">
        <v>7</v>
      </c>
      <c r="B4" s="94"/>
      <c r="C4" s="93" t="str">
        <f>'Stavební rozpočet'!C4</f>
        <v xml:space="preserve"> </v>
      </c>
      <c r="D4" s="94"/>
      <c r="E4" s="93" t="s">
        <v>9</v>
      </c>
      <c r="F4" s="93" t="str">
        <f>'Stavební rozpočet'!I4</f>
        <v> </v>
      </c>
      <c r="G4" s="94"/>
      <c r="H4" s="93" t="s">
        <v>2869</v>
      </c>
      <c r="I4" s="143" t="s">
        <v>46</v>
      </c>
    </row>
    <row r="5" spans="1:9" ht="15" customHeight="1" x14ac:dyDescent="0.25">
      <c r="A5" s="141"/>
      <c r="B5" s="94"/>
      <c r="C5" s="94"/>
      <c r="D5" s="94"/>
      <c r="E5" s="94"/>
      <c r="F5" s="94"/>
      <c r="G5" s="94"/>
      <c r="H5" s="94"/>
      <c r="I5" s="143"/>
    </row>
    <row r="6" spans="1:9" x14ac:dyDescent="0.25">
      <c r="A6" s="132" t="s">
        <v>10</v>
      </c>
      <c r="B6" s="94"/>
      <c r="C6" s="93" t="str">
        <f>'Stavební rozpočet'!C6</f>
        <v>p.p.č.519/1, k.ú.Semily (747246)  3.května č.p.421, 513 01 Semily, Česká republika</v>
      </c>
      <c r="D6" s="94"/>
      <c r="E6" s="93" t="s">
        <v>13</v>
      </c>
      <c r="F6" s="93" t="str">
        <f>'Stavební rozpočet'!I6</f>
        <v> </v>
      </c>
      <c r="G6" s="94"/>
      <c r="H6" s="93" t="s">
        <v>2869</v>
      </c>
      <c r="I6" s="143" t="s">
        <v>46</v>
      </c>
    </row>
    <row r="7" spans="1:9" ht="15" customHeight="1" x14ac:dyDescent="0.25">
      <c r="A7" s="141"/>
      <c r="B7" s="94"/>
      <c r="C7" s="94"/>
      <c r="D7" s="94"/>
      <c r="E7" s="94"/>
      <c r="F7" s="94"/>
      <c r="G7" s="94"/>
      <c r="H7" s="94"/>
      <c r="I7" s="143"/>
    </row>
    <row r="8" spans="1:9" x14ac:dyDescent="0.25">
      <c r="A8" s="132" t="s">
        <v>8</v>
      </c>
      <c r="B8" s="94"/>
      <c r="C8" s="93"/>
      <c r="D8" s="94"/>
      <c r="E8" s="93" t="s">
        <v>12</v>
      </c>
      <c r="F8" s="93" t="str">
        <f>'Stavební rozpočet'!G6</f>
        <v xml:space="preserve"> </v>
      </c>
      <c r="G8" s="94"/>
      <c r="H8" s="94" t="s">
        <v>2870</v>
      </c>
      <c r="I8" s="144">
        <v>819</v>
      </c>
    </row>
    <row r="9" spans="1:9" x14ac:dyDescent="0.25">
      <c r="A9" s="141"/>
      <c r="B9" s="94"/>
      <c r="C9" s="94"/>
      <c r="D9" s="94"/>
      <c r="E9" s="94"/>
      <c r="F9" s="94"/>
      <c r="G9" s="94"/>
      <c r="H9" s="94"/>
      <c r="I9" s="143"/>
    </row>
    <row r="10" spans="1:9" x14ac:dyDescent="0.25">
      <c r="A10" s="132" t="s">
        <v>14</v>
      </c>
      <c r="B10" s="94"/>
      <c r="C10" s="93" t="str">
        <f>'Stavební rozpočet'!C8</f>
        <v xml:space="preserve"> </v>
      </c>
      <c r="D10" s="94"/>
      <c r="E10" s="93" t="s">
        <v>16</v>
      </c>
      <c r="F10" s="93" t="str">
        <f>'Stavební rozpočet'!I8</f>
        <v> </v>
      </c>
      <c r="G10" s="94"/>
      <c r="H10" s="94" t="s">
        <v>2871</v>
      </c>
      <c r="I10" s="125"/>
    </row>
    <row r="11" spans="1:9" x14ac:dyDescent="0.25">
      <c r="A11" s="133"/>
      <c r="B11" s="130"/>
      <c r="C11" s="130"/>
      <c r="D11" s="130"/>
      <c r="E11" s="130"/>
      <c r="F11" s="130"/>
      <c r="G11" s="130"/>
      <c r="H11" s="130"/>
      <c r="I11" s="126"/>
    </row>
    <row r="12" spans="1:9" ht="23.25" x14ac:dyDescent="0.25">
      <c r="A12" s="127" t="s">
        <v>2872</v>
      </c>
      <c r="B12" s="127"/>
      <c r="C12" s="127"/>
      <c r="D12" s="127"/>
      <c r="E12" s="127"/>
      <c r="F12" s="127"/>
      <c r="G12" s="127"/>
      <c r="H12" s="127"/>
      <c r="I12" s="127"/>
    </row>
    <row r="13" spans="1:9" ht="26.25" customHeight="1" x14ac:dyDescent="0.25">
      <c r="A13" s="64" t="s">
        <v>2873</v>
      </c>
      <c r="B13" s="128" t="s">
        <v>2874</v>
      </c>
      <c r="C13" s="129"/>
      <c r="D13" s="65"/>
      <c r="E13" s="128"/>
      <c r="F13" s="129"/>
      <c r="G13" s="65"/>
      <c r="H13" s="128"/>
      <c r="I13" s="129"/>
    </row>
    <row r="14" spans="1:9" ht="15.75" x14ac:dyDescent="0.25">
      <c r="A14" s="66" t="s">
        <v>2876</v>
      </c>
      <c r="B14" s="67" t="s">
        <v>2877</v>
      </c>
      <c r="C14" s="68">
        <f>SUM('Stavební rozpočet'!AB12:AB1748)</f>
        <v>0</v>
      </c>
      <c r="D14" s="115"/>
      <c r="E14" s="116"/>
      <c r="F14" s="68"/>
      <c r="G14" s="115"/>
      <c r="H14" s="116"/>
      <c r="I14" s="69"/>
    </row>
    <row r="15" spans="1:9" ht="15.75" x14ac:dyDescent="0.25">
      <c r="A15" s="70" t="s">
        <v>46</v>
      </c>
      <c r="B15" s="67" t="s">
        <v>31</v>
      </c>
      <c r="C15" s="68">
        <f>SUM('Stavební rozpočet'!AC12:AC1748)</f>
        <v>0</v>
      </c>
      <c r="D15" s="115"/>
      <c r="E15" s="116"/>
      <c r="F15" s="68"/>
      <c r="G15" s="115"/>
      <c r="H15" s="116"/>
      <c r="I15" s="69"/>
    </row>
    <row r="16" spans="1:9" ht="15.75" x14ac:dyDescent="0.25">
      <c r="A16" s="66" t="s">
        <v>2881</v>
      </c>
      <c r="B16" s="67" t="s">
        <v>2877</v>
      </c>
      <c r="C16" s="68">
        <f>SUM('Stavební rozpočet'!AD12:AD1748)</f>
        <v>0</v>
      </c>
      <c r="D16" s="115"/>
      <c r="E16" s="116"/>
      <c r="F16" s="68"/>
      <c r="G16" s="115"/>
      <c r="H16" s="116"/>
      <c r="I16" s="69"/>
    </row>
    <row r="17" spans="1:9" ht="15.75" x14ac:dyDescent="0.25">
      <c r="A17" s="70" t="s">
        <v>46</v>
      </c>
      <c r="B17" s="67" t="s">
        <v>31</v>
      </c>
      <c r="C17" s="68">
        <f>SUM('Stavební rozpočet'!AE12:AE1748)</f>
        <v>0</v>
      </c>
      <c r="D17" s="115"/>
      <c r="E17" s="116"/>
      <c r="F17" s="69"/>
      <c r="G17" s="115"/>
      <c r="H17" s="116"/>
      <c r="I17" s="69"/>
    </row>
    <row r="18" spans="1:9" ht="15.75" x14ac:dyDescent="0.25">
      <c r="A18" s="66" t="s">
        <v>2883</v>
      </c>
      <c r="B18" s="67" t="s">
        <v>2877</v>
      </c>
      <c r="C18" s="68">
        <f>SUM('Stavební rozpočet'!AF12:AF1748)</f>
        <v>0</v>
      </c>
      <c r="D18" s="115"/>
      <c r="E18" s="116"/>
      <c r="F18" s="69"/>
      <c r="G18" s="115"/>
      <c r="H18" s="116"/>
      <c r="I18" s="69"/>
    </row>
    <row r="19" spans="1:9" ht="15.75" x14ac:dyDescent="0.25">
      <c r="A19" s="70" t="s">
        <v>46</v>
      </c>
      <c r="B19" s="67" t="s">
        <v>31</v>
      </c>
      <c r="C19" s="68">
        <f>SUM('Stavební rozpočet'!AG12:AG1748)</f>
        <v>0</v>
      </c>
      <c r="D19" s="115"/>
      <c r="E19" s="116"/>
      <c r="F19" s="69"/>
      <c r="G19" s="115"/>
      <c r="H19" s="116"/>
      <c r="I19" s="69"/>
    </row>
    <row r="20" spans="1:9" ht="15.75" x14ac:dyDescent="0.25">
      <c r="A20" s="107" t="s">
        <v>2886</v>
      </c>
      <c r="B20" s="108"/>
      <c r="C20" s="68">
        <f>SUM('Stavební rozpočet'!AH12:AH1748)</f>
        <v>0</v>
      </c>
      <c r="D20" s="115"/>
      <c r="E20" s="116"/>
      <c r="F20" s="69"/>
      <c r="G20" s="115"/>
      <c r="H20" s="116"/>
      <c r="I20" s="69"/>
    </row>
    <row r="21" spans="1:9" ht="15.75" x14ac:dyDescent="0.25">
      <c r="A21" s="122" t="s">
        <v>2887</v>
      </c>
      <c r="B21" s="123"/>
      <c r="C21" s="71">
        <f>SUM('Stavební rozpočet'!Z12:Z1748)</f>
        <v>0</v>
      </c>
      <c r="D21" s="117"/>
      <c r="E21" s="118"/>
      <c r="F21" s="72"/>
      <c r="G21" s="117"/>
      <c r="H21" s="118"/>
      <c r="I21" s="72"/>
    </row>
    <row r="22" spans="1:9" ht="16.5" customHeight="1" x14ac:dyDescent="0.25">
      <c r="A22" s="124" t="s">
        <v>2888</v>
      </c>
      <c r="B22" s="120"/>
      <c r="C22" s="73">
        <f>ROUND(SUM(C14:C21),1)</f>
        <v>0</v>
      </c>
      <c r="D22" s="119"/>
      <c r="E22" s="120"/>
      <c r="F22" s="73"/>
      <c r="G22" s="119"/>
      <c r="H22" s="120"/>
      <c r="I22" s="73"/>
    </row>
    <row r="23" spans="1:9" ht="15.75" x14ac:dyDescent="0.25">
      <c r="D23" s="107"/>
      <c r="E23" s="108"/>
      <c r="F23" s="74"/>
      <c r="G23" s="121"/>
      <c r="H23" s="108"/>
      <c r="I23" s="68"/>
    </row>
    <row r="24" spans="1:9" ht="15.75" x14ac:dyDescent="0.25">
      <c r="G24" s="107" t="s">
        <v>2889</v>
      </c>
      <c r="H24" s="108"/>
      <c r="I24" s="71">
        <f>vorn_sum</f>
        <v>0</v>
      </c>
    </row>
    <row r="25" spans="1:9" ht="15.75" x14ac:dyDescent="0.25">
      <c r="G25" s="107" t="s">
        <v>2890</v>
      </c>
      <c r="H25" s="108"/>
      <c r="I25" s="73">
        <v>0</v>
      </c>
    </row>
    <row r="27" spans="1:9" ht="15.75" x14ac:dyDescent="0.25">
      <c r="A27" s="109" t="s">
        <v>2891</v>
      </c>
      <c r="B27" s="110"/>
      <c r="C27" s="75">
        <f>ROUND(SUM('Stavební rozpočet'!AJ12:AJ1748),1)</f>
        <v>0</v>
      </c>
    </row>
    <row r="28" spans="1:9" ht="15.75" x14ac:dyDescent="0.25">
      <c r="A28" s="111" t="s">
        <v>2892</v>
      </c>
      <c r="B28" s="112"/>
      <c r="C28" s="76">
        <f>ROUND(SUM('Stavební rozpočet'!AK12:AK1748),1)</f>
        <v>0</v>
      </c>
      <c r="D28" s="113" t="s">
        <v>2893</v>
      </c>
      <c r="E28" s="110"/>
      <c r="F28" s="75">
        <f>ROUND(C28*(12/100),2)</f>
        <v>0</v>
      </c>
      <c r="G28" s="113" t="s">
        <v>2894</v>
      </c>
      <c r="H28" s="110"/>
      <c r="I28" s="75">
        <f>ROUND(SUM(C27:C29),1)</f>
        <v>0</v>
      </c>
    </row>
    <row r="29" spans="1:9" ht="15.75" x14ac:dyDescent="0.25">
      <c r="A29" s="111" t="s">
        <v>2895</v>
      </c>
      <c r="B29" s="112"/>
      <c r="C29" s="76">
        <f>ROUND(SUM('Stavební rozpočet'!AL12:AL1748),1)</f>
        <v>0</v>
      </c>
      <c r="D29" s="114" t="s">
        <v>2896</v>
      </c>
      <c r="E29" s="112"/>
      <c r="F29" s="76">
        <f>ROUND(C29*(21/100),2)</f>
        <v>0</v>
      </c>
      <c r="G29" s="114" t="s">
        <v>2897</v>
      </c>
      <c r="H29" s="112"/>
      <c r="I29" s="76">
        <f>ROUND(SUM(F28:F29)+I28,1)</f>
        <v>0</v>
      </c>
    </row>
    <row r="31" spans="1:9" x14ac:dyDescent="0.25">
      <c r="A31" s="104" t="s">
        <v>2898</v>
      </c>
      <c r="B31" s="96"/>
      <c r="C31" s="97"/>
      <c r="D31" s="95" t="s">
        <v>2899</v>
      </c>
      <c r="E31" s="96"/>
      <c r="F31" s="97"/>
      <c r="G31" s="95" t="s">
        <v>2900</v>
      </c>
      <c r="H31" s="96"/>
      <c r="I31" s="97"/>
    </row>
    <row r="32" spans="1:9" x14ac:dyDescent="0.25">
      <c r="A32" s="105" t="s">
        <v>46</v>
      </c>
      <c r="B32" s="99"/>
      <c r="C32" s="100"/>
      <c r="D32" s="98" t="s">
        <v>46</v>
      </c>
      <c r="E32" s="99"/>
      <c r="F32" s="100"/>
      <c r="G32" s="98" t="s">
        <v>46</v>
      </c>
      <c r="H32" s="99"/>
      <c r="I32" s="100"/>
    </row>
    <row r="33" spans="1:9" x14ac:dyDescent="0.25">
      <c r="A33" s="105" t="s">
        <v>46</v>
      </c>
      <c r="B33" s="99"/>
      <c r="C33" s="100"/>
      <c r="D33" s="98" t="s">
        <v>46</v>
      </c>
      <c r="E33" s="99"/>
      <c r="F33" s="100"/>
      <c r="G33" s="98" t="s">
        <v>46</v>
      </c>
      <c r="H33" s="99"/>
      <c r="I33" s="100"/>
    </row>
    <row r="34" spans="1:9" x14ac:dyDescent="0.25">
      <c r="A34" s="105" t="s">
        <v>46</v>
      </c>
      <c r="B34" s="99"/>
      <c r="C34" s="100"/>
      <c r="D34" s="98" t="s">
        <v>46</v>
      </c>
      <c r="E34" s="99"/>
      <c r="F34" s="100"/>
      <c r="G34" s="98" t="s">
        <v>46</v>
      </c>
      <c r="H34" s="99"/>
      <c r="I34" s="100"/>
    </row>
    <row r="35" spans="1:9" x14ac:dyDescent="0.25">
      <c r="A35" s="106" t="s">
        <v>2901</v>
      </c>
      <c r="B35" s="102"/>
      <c r="C35" s="103"/>
      <c r="D35" s="101" t="s">
        <v>2901</v>
      </c>
      <c r="E35" s="102"/>
      <c r="F35" s="103"/>
      <c r="G35" s="101" t="s">
        <v>2901</v>
      </c>
      <c r="H35" s="102"/>
      <c r="I35" s="103"/>
    </row>
    <row r="36" spans="1:9" x14ac:dyDescent="0.25">
      <c r="A36" s="77" t="s">
        <v>2570</v>
      </c>
    </row>
    <row r="37" spans="1:9" ht="12.75" customHeight="1" x14ac:dyDescent="0.25">
      <c r="A37" s="93" t="s">
        <v>46</v>
      </c>
      <c r="B37" s="94"/>
      <c r="C37" s="94"/>
      <c r="D37" s="94"/>
      <c r="E37" s="94"/>
      <c r="F37" s="94"/>
      <c r="G37" s="94"/>
      <c r="H37" s="94"/>
      <c r="I37" s="94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5"/>
  <sheetViews>
    <sheetView workbookViewId="0">
      <pane ySplit="11" topLeftCell="A39" activePane="bottomLeft" state="frozen"/>
      <selection pane="bottomLeft" activeCell="A2" sqref="A2:B3"/>
    </sheetView>
  </sheetViews>
  <sheetFormatPr defaultColWidth="12.140625" defaultRowHeight="15" customHeight="1" x14ac:dyDescent="0.25"/>
  <cols>
    <col min="1" max="2" width="8.5703125" customWidth="1"/>
    <col min="3" max="3" width="69.85546875" customWidth="1"/>
    <col min="4" max="4" width="15" customWidth="1"/>
    <col min="5" max="6" width="27.85546875" hidden="1" customWidth="1"/>
    <col min="7" max="7" width="27.85546875" customWidth="1"/>
    <col min="8" max="9" width="0" hidden="1" customWidth="1"/>
  </cols>
  <sheetData>
    <row r="1" spans="1:9" ht="54.75" customHeight="1" x14ac:dyDescent="0.25">
      <c r="A1" s="138" t="s">
        <v>2585</v>
      </c>
      <c r="B1" s="138"/>
      <c r="C1" s="138"/>
      <c r="D1" s="138"/>
      <c r="E1" s="138"/>
      <c r="F1" s="138"/>
      <c r="G1" s="138"/>
    </row>
    <row r="2" spans="1:9" x14ac:dyDescent="0.25">
      <c r="A2" s="139" t="s">
        <v>1</v>
      </c>
      <c r="B2" s="140"/>
      <c r="C2" s="134" t="str">
        <f>'Stavební rozpočet'!C2</f>
        <v>Modernizace 4.NP Hlavního pavilonu nemocnice Semily</v>
      </c>
      <c r="D2" s="140" t="s">
        <v>3</v>
      </c>
      <c r="E2" s="140" t="s">
        <v>4</v>
      </c>
      <c r="F2" s="131" t="s">
        <v>5</v>
      </c>
      <c r="G2" s="145" t="str">
        <f>'Stavební rozpočet'!I2</f>
        <v> </v>
      </c>
    </row>
    <row r="3" spans="1:9" ht="15" customHeight="1" x14ac:dyDescent="0.25">
      <c r="A3" s="141"/>
      <c r="B3" s="94"/>
      <c r="C3" s="136"/>
      <c r="D3" s="94"/>
      <c r="E3" s="94"/>
      <c r="F3" s="94"/>
      <c r="G3" s="143"/>
    </row>
    <row r="4" spans="1:9" x14ac:dyDescent="0.25">
      <c r="A4" s="132" t="s">
        <v>7</v>
      </c>
      <c r="B4" s="94"/>
      <c r="C4" s="93" t="str">
        <f>'Stavební rozpočet'!C4</f>
        <v xml:space="preserve"> </v>
      </c>
      <c r="D4" s="94" t="s">
        <v>8</v>
      </c>
      <c r="E4" s="94"/>
      <c r="F4" s="93" t="s">
        <v>9</v>
      </c>
      <c r="G4" s="125" t="str">
        <f>'Stavební rozpočet'!I4</f>
        <v> </v>
      </c>
    </row>
    <row r="5" spans="1:9" ht="15" customHeight="1" x14ac:dyDescent="0.25">
      <c r="A5" s="141"/>
      <c r="B5" s="94"/>
      <c r="C5" s="94"/>
      <c r="D5" s="94"/>
      <c r="E5" s="94"/>
      <c r="F5" s="94"/>
      <c r="G5" s="143"/>
    </row>
    <row r="6" spans="1:9" x14ac:dyDescent="0.25">
      <c r="A6" s="132" t="s">
        <v>10</v>
      </c>
      <c r="B6" s="94"/>
      <c r="C6" s="93" t="str">
        <f>'Stavební rozpočet'!C6</f>
        <v>p.p.č.519/1, k.ú.Semily (747246)  3.května č.p.421, 513 01 Semily, Česká republika</v>
      </c>
      <c r="D6" s="94" t="s">
        <v>12</v>
      </c>
      <c r="E6" s="94" t="s">
        <v>4</v>
      </c>
      <c r="F6" s="93" t="s">
        <v>13</v>
      </c>
      <c r="G6" s="125" t="str">
        <f>'Stavební rozpočet'!I6</f>
        <v> </v>
      </c>
    </row>
    <row r="7" spans="1:9" ht="15" customHeight="1" x14ac:dyDescent="0.25">
      <c r="A7" s="141"/>
      <c r="B7" s="94"/>
      <c r="C7" s="94"/>
      <c r="D7" s="94"/>
      <c r="E7" s="94"/>
      <c r="F7" s="94"/>
      <c r="G7" s="143"/>
    </row>
    <row r="8" spans="1:9" x14ac:dyDescent="0.25">
      <c r="A8" s="132" t="s">
        <v>16</v>
      </c>
      <c r="B8" s="94"/>
      <c r="C8" s="93" t="str">
        <f>'Stavební rozpočet'!I8</f>
        <v> </v>
      </c>
      <c r="D8" s="94" t="s">
        <v>15</v>
      </c>
      <c r="E8" s="94"/>
      <c r="F8" s="94" t="s">
        <v>15</v>
      </c>
      <c r="G8" s="125"/>
    </row>
    <row r="9" spans="1:9" ht="15.75" thickBot="1" x14ac:dyDescent="0.3">
      <c r="A9" s="148"/>
      <c r="B9" s="147"/>
      <c r="C9" s="147"/>
      <c r="D9" s="147"/>
      <c r="E9" s="147"/>
      <c r="F9" s="147"/>
      <c r="G9" s="146"/>
    </row>
    <row r="10" spans="1:9" ht="15.75" thickBot="1" x14ac:dyDescent="0.3">
      <c r="A10" s="86" t="s">
        <v>2586</v>
      </c>
      <c r="B10" s="87" t="s">
        <v>18</v>
      </c>
      <c r="C10" s="88" t="s">
        <v>19</v>
      </c>
      <c r="D10" s="89"/>
      <c r="E10" s="90" t="s">
        <v>2587</v>
      </c>
      <c r="F10" s="91" t="s">
        <v>2588</v>
      </c>
      <c r="G10" s="92" t="s">
        <v>2589</v>
      </c>
    </row>
    <row r="11" spans="1:9" x14ac:dyDescent="0.25">
      <c r="A11" s="40" t="s">
        <v>46</v>
      </c>
      <c r="B11" s="41" t="s">
        <v>47</v>
      </c>
      <c r="C11" s="94" t="s">
        <v>48</v>
      </c>
      <c r="D11" s="94"/>
      <c r="E11" s="42">
        <f>ROUND('Stavební rozpočet'!H12,2)</f>
        <v>0</v>
      </c>
      <c r="F11" s="42">
        <f>ROUND('Stavební rozpočet'!I12,2)</f>
        <v>0</v>
      </c>
      <c r="G11" s="42">
        <f>ROUND('Stavební rozpočet'!J12,2)</f>
        <v>0</v>
      </c>
      <c r="H11" s="27" t="s">
        <v>2573</v>
      </c>
      <c r="I11" s="25">
        <f t="shared" ref="I11:I54" si="0">IF(H11="F",0,G11)</f>
        <v>0</v>
      </c>
    </row>
    <row r="12" spans="1:9" x14ac:dyDescent="0.25">
      <c r="A12" s="2" t="s">
        <v>46</v>
      </c>
      <c r="B12" s="3" t="s">
        <v>88</v>
      </c>
      <c r="C12" s="94" t="s">
        <v>89</v>
      </c>
      <c r="D12" s="94"/>
      <c r="E12" s="25">
        <f>ROUND('Stavební rozpočet'!H23,2)</f>
        <v>0</v>
      </c>
      <c r="F12" s="25">
        <f>ROUND('Stavební rozpočet'!I23,2)</f>
        <v>0</v>
      </c>
      <c r="G12" s="25">
        <f>ROUND('Stavební rozpočet'!J23,2)</f>
        <v>0</v>
      </c>
      <c r="H12" s="27" t="s">
        <v>2573</v>
      </c>
      <c r="I12" s="25">
        <f t="shared" si="0"/>
        <v>0</v>
      </c>
    </row>
    <row r="13" spans="1:9" x14ac:dyDescent="0.25">
      <c r="A13" s="2" t="s">
        <v>46</v>
      </c>
      <c r="B13" s="3" t="s">
        <v>181</v>
      </c>
      <c r="C13" s="94" t="s">
        <v>193</v>
      </c>
      <c r="D13" s="94"/>
      <c r="E13" s="25">
        <f>ROUND('Stavební rozpočet'!H58,2)</f>
        <v>0</v>
      </c>
      <c r="F13" s="25">
        <f>ROUND('Stavební rozpočet'!I58,2)</f>
        <v>0</v>
      </c>
      <c r="G13" s="25">
        <f>ROUND('Stavební rozpočet'!J58,2)</f>
        <v>0</v>
      </c>
      <c r="H13" s="27" t="s">
        <v>2573</v>
      </c>
      <c r="I13" s="25">
        <f t="shared" si="0"/>
        <v>0</v>
      </c>
    </row>
    <row r="14" spans="1:9" x14ac:dyDescent="0.25">
      <c r="A14" s="2" t="s">
        <v>46</v>
      </c>
      <c r="B14" s="3" t="s">
        <v>217</v>
      </c>
      <c r="C14" s="94" t="s">
        <v>218</v>
      </c>
      <c r="D14" s="94"/>
      <c r="E14" s="25">
        <f>ROUND('Stavební rozpočet'!H66,2)</f>
        <v>0</v>
      </c>
      <c r="F14" s="25">
        <f>ROUND('Stavební rozpočet'!I66,2)</f>
        <v>0</v>
      </c>
      <c r="G14" s="25">
        <f>ROUND('Stavební rozpočet'!J66,2)</f>
        <v>0</v>
      </c>
      <c r="H14" s="27" t="s">
        <v>2573</v>
      </c>
      <c r="I14" s="25">
        <f t="shared" si="0"/>
        <v>0</v>
      </c>
    </row>
    <row r="15" spans="1:9" x14ac:dyDescent="0.25">
      <c r="A15" s="2" t="s">
        <v>46</v>
      </c>
      <c r="B15" s="3" t="s">
        <v>250</v>
      </c>
      <c r="C15" s="94" t="s">
        <v>256</v>
      </c>
      <c r="D15" s="94"/>
      <c r="E15" s="25">
        <f>ROUND('Stavební rozpočet'!H79,2)</f>
        <v>0</v>
      </c>
      <c r="F15" s="25">
        <f>ROUND('Stavební rozpočet'!I79,2)</f>
        <v>0</v>
      </c>
      <c r="G15" s="25">
        <f>ROUND('Stavební rozpočet'!J79,2)</f>
        <v>0</v>
      </c>
      <c r="H15" s="27" t="s">
        <v>2573</v>
      </c>
      <c r="I15" s="25">
        <f t="shared" si="0"/>
        <v>0</v>
      </c>
    </row>
    <row r="16" spans="1:9" x14ac:dyDescent="0.25">
      <c r="A16" s="2" t="s">
        <v>46</v>
      </c>
      <c r="B16" s="3" t="s">
        <v>253</v>
      </c>
      <c r="C16" s="94" t="s">
        <v>267</v>
      </c>
      <c r="D16" s="94"/>
      <c r="E16" s="25">
        <f>ROUND('Stavební rozpočet'!H83,2)</f>
        <v>0</v>
      </c>
      <c r="F16" s="25">
        <f>ROUND('Stavební rozpočet'!I83,2)</f>
        <v>0</v>
      </c>
      <c r="G16" s="25">
        <f>ROUND('Stavební rozpočet'!J83,2)</f>
        <v>0</v>
      </c>
      <c r="H16" s="27" t="s">
        <v>2573</v>
      </c>
      <c r="I16" s="25">
        <f t="shared" si="0"/>
        <v>0</v>
      </c>
    </row>
    <row r="17" spans="1:9" x14ac:dyDescent="0.25">
      <c r="A17" s="2" t="s">
        <v>46</v>
      </c>
      <c r="B17" s="3" t="s">
        <v>257</v>
      </c>
      <c r="C17" s="94" t="s">
        <v>284</v>
      </c>
      <c r="D17" s="94"/>
      <c r="E17" s="25">
        <f>ROUND('Stavební rozpočet'!H89,2)</f>
        <v>0</v>
      </c>
      <c r="F17" s="25">
        <f>ROUND('Stavební rozpočet'!I89,2)</f>
        <v>0</v>
      </c>
      <c r="G17" s="25">
        <f>ROUND('Stavební rozpočet'!J89,2)</f>
        <v>0</v>
      </c>
      <c r="H17" s="27" t="s">
        <v>2573</v>
      </c>
      <c r="I17" s="25">
        <f t="shared" si="0"/>
        <v>0</v>
      </c>
    </row>
    <row r="18" spans="1:9" x14ac:dyDescent="0.25">
      <c r="A18" s="2" t="s">
        <v>46</v>
      </c>
      <c r="B18" s="3" t="s">
        <v>298</v>
      </c>
      <c r="C18" s="94" t="s">
        <v>299</v>
      </c>
      <c r="D18" s="94"/>
      <c r="E18" s="25">
        <f>ROUND('Stavební rozpočet'!H94,2)</f>
        <v>0</v>
      </c>
      <c r="F18" s="25">
        <f>ROUND('Stavební rozpočet'!I94,2)</f>
        <v>0</v>
      </c>
      <c r="G18" s="25">
        <f>ROUND('Stavební rozpočet'!J94,2)</f>
        <v>0</v>
      </c>
      <c r="H18" s="27" t="s">
        <v>2573</v>
      </c>
      <c r="I18" s="25">
        <f t="shared" si="0"/>
        <v>0</v>
      </c>
    </row>
    <row r="19" spans="1:9" x14ac:dyDescent="0.25">
      <c r="A19" s="2" t="s">
        <v>46</v>
      </c>
      <c r="B19" s="3" t="s">
        <v>318</v>
      </c>
      <c r="C19" s="94" t="s">
        <v>319</v>
      </c>
      <c r="D19" s="94"/>
      <c r="E19" s="25">
        <f>ROUND('Stavební rozpočet'!H100,2)</f>
        <v>0</v>
      </c>
      <c r="F19" s="25">
        <f>ROUND('Stavební rozpočet'!I100,2)</f>
        <v>0</v>
      </c>
      <c r="G19" s="25">
        <f>ROUND('Stavební rozpočet'!J100,2)</f>
        <v>0</v>
      </c>
      <c r="H19" s="27" t="s">
        <v>2573</v>
      </c>
      <c r="I19" s="25">
        <f t="shared" si="0"/>
        <v>0</v>
      </c>
    </row>
    <row r="20" spans="1:9" x14ac:dyDescent="0.25">
      <c r="A20" s="2" t="s">
        <v>46</v>
      </c>
      <c r="B20" s="3" t="s">
        <v>327</v>
      </c>
      <c r="C20" s="94" t="s">
        <v>328</v>
      </c>
      <c r="D20" s="94"/>
      <c r="E20" s="25">
        <f>ROUND('Stavební rozpočet'!H103,2)</f>
        <v>0</v>
      </c>
      <c r="F20" s="25">
        <f>ROUND('Stavební rozpočet'!I103,2)</f>
        <v>0</v>
      </c>
      <c r="G20" s="25">
        <f>ROUND('Stavební rozpočet'!J103,2)</f>
        <v>0</v>
      </c>
      <c r="H20" s="27" t="s">
        <v>2573</v>
      </c>
      <c r="I20" s="25">
        <f t="shared" si="0"/>
        <v>0</v>
      </c>
    </row>
    <row r="21" spans="1:9" x14ac:dyDescent="0.25">
      <c r="A21" s="2" t="s">
        <v>46</v>
      </c>
      <c r="B21" s="3" t="s">
        <v>349</v>
      </c>
      <c r="C21" s="94" t="s">
        <v>350</v>
      </c>
      <c r="D21" s="94"/>
      <c r="E21" s="25">
        <f>ROUND('Stavební rozpočet'!H110,2)</f>
        <v>0</v>
      </c>
      <c r="F21" s="25">
        <f>ROUND('Stavební rozpočet'!I110,2)</f>
        <v>0</v>
      </c>
      <c r="G21" s="25">
        <f>ROUND('Stavební rozpočet'!J110,2)</f>
        <v>0</v>
      </c>
      <c r="H21" s="27" t="s">
        <v>2573</v>
      </c>
      <c r="I21" s="25">
        <f t="shared" si="0"/>
        <v>0</v>
      </c>
    </row>
    <row r="22" spans="1:9" x14ac:dyDescent="0.25">
      <c r="A22" s="2" t="s">
        <v>46</v>
      </c>
      <c r="B22" s="3" t="s">
        <v>372</v>
      </c>
      <c r="C22" s="94" t="s">
        <v>441</v>
      </c>
      <c r="D22" s="94"/>
      <c r="E22" s="25">
        <f>ROUND('Stavební rozpočet'!H142,2)</f>
        <v>0</v>
      </c>
      <c r="F22" s="25">
        <f>ROUND('Stavební rozpočet'!I142,2)</f>
        <v>0</v>
      </c>
      <c r="G22" s="25">
        <f>ROUND('Stavební rozpočet'!J142,2)</f>
        <v>0</v>
      </c>
      <c r="H22" s="27" t="s">
        <v>2573</v>
      </c>
      <c r="I22" s="25">
        <f t="shared" si="0"/>
        <v>0</v>
      </c>
    </row>
    <row r="23" spans="1:9" x14ac:dyDescent="0.25">
      <c r="A23" s="2" t="s">
        <v>46</v>
      </c>
      <c r="B23" s="3" t="s">
        <v>479</v>
      </c>
      <c r="C23" s="94" t="s">
        <v>480</v>
      </c>
      <c r="D23" s="94"/>
      <c r="E23" s="25">
        <f>ROUND('Stavební rozpočet'!H155,2)</f>
        <v>0</v>
      </c>
      <c r="F23" s="25">
        <f>ROUND('Stavební rozpočet'!I155,2)</f>
        <v>0</v>
      </c>
      <c r="G23" s="25">
        <f>ROUND('Stavební rozpočet'!J155,2)</f>
        <v>0</v>
      </c>
      <c r="H23" s="27" t="s">
        <v>2573</v>
      </c>
      <c r="I23" s="25">
        <f t="shared" si="0"/>
        <v>0</v>
      </c>
    </row>
    <row r="24" spans="1:9" x14ac:dyDescent="0.25">
      <c r="A24" s="2" t="s">
        <v>46</v>
      </c>
      <c r="B24" s="3" t="s">
        <v>533</v>
      </c>
      <c r="C24" s="94" t="s">
        <v>534</v>
      </c>
      <c r="D24" s="94"/>
      <c r="E24" s="25">
        <f>ROUND('Stavební rozpočet'!H173,2)</f>
        <v>0</v>
      </c>
      <c r="F24" s="25">
        <f>ROUND('Stavební rozpočet'!I173,2)</f>
        <v>0</v>
      </c>
      <c r="G24" s="25">
        <f>ROUND('Stavební rozpočet'!J173,2)</f>
        <v>0</v>
      </c>
      <c r="H24" s="27" t="s">
        <v>2573</v>
      </c>
      <c r="I24" s="25">
        <f t="shared" si="0"/>
        <v>0</v>
      </c>
    </row>
    <row r="25" spans="1:9" x14ac:dyDescent="0.25">
      <c r="A25" s="2" t="s">
        <v>46</v>
      </c>
      <c r="B25" s="3" t="s">
        <v>539</v>
      </c>
      <c r="C25" s="94" t="s">
        <v>540</v>
      </c>
      <c r="D25" s="94"/>
      <c r="E25" s="25">
        <f>ROUND('Stavební rozpočet'!H175,2)</f>
        <v>0</v>
      </c>
      <c r="F25" s="25">
        <f>ROUND('Stavební rozpočet'!I175,2)</f>
        <v>0</v>
      </c>
      <c r="G25" s="25">
        <f>ROUND('Stavební rozpočet'!J175,2)</f>
        <v>0</v>
      </c>
      <c r="H25" s="27" t="s">
        <v>2573</v>
      </c>
      <c r="I25" s="25">
        <f t="shared" si="0"/>
        <v>0</v>
      </c>
    </row>
    <row r="26" spans="1:9" x14ac:dyDescent="0.25">
      <c r="A26" s="2" t="s">
        <v>46</v>
      </c>
      <c r="B26" s="3" t="s">
        <v>555</v>
      </c>
      <c r="C26" s="94" t="s">
        <v>556</v>
      </c>
      <c r="D26" s="94"/>
      <c r="E26" s="25">
        <f>ROUND('Stavební rozpočet'!H180,2)</f>
        <v>0</v>
      </c>
      <c r="F26" s="25">
        <f>ROUND('Stavební rozpočet'!I180,2)</f>
        <v>0</v>
      </c>
      <c r="G26" s="25">
        <f>ROUND('Stavební rozpočet'!J180,2)</f>
        <v>0</v>
      </c>
      <c r="H26" s="27" t="s">
        <v>2573</v>
      </c>
      <c r="I26" s="25">
        <f t="shared" si="0"/>
        <v>0</v>
      </c>
    </row>
    <row r="27" spans="1:9" x14ac:dyDescent="0.25">
      <c r="A27" s="2" t="s">
        <v>46</v>
      </c>
      <c r="B27" s="3" t="s">
        <v>579</v>
      </c>
      <c r="C27" s="94" t="s">
        <v>580</v>
      </c>
      <c r="D27" s="94"/>
      <c r="E27" s="25">
        <f>ROUND('Stavební rozpočet'!H188,2)</f>
        <v>0</v>
      </c>
      <c r="F27" s="25">
        <f>ROUND('Stavební rozpočet'!I188,2)</f>
        <v>0</v>
      </c>
      <c r="G27" s="25">
        <f>ROUND('Stavební rozpočet'!J188,2)</f>
        <v>0</v>
      </c>
      <c r="H27" s="27" t="s">
        <v>2573</v>
      </c>
      <c r="I27" s="25">
        <f t="shared" si="0"/>
        <v>0</v>
      </c>
    </row>
    <row r="28" spans="1:9" x14ac:dyDescent="0.25">
      <c r="A28" s="2" t="s">
        <v>46</v>
      </c>
      <c r="B28" s="3" t="s">
        <v>836</v>
      </c>
      <c r="C28" s="94" t="s">
        <v>837</v>
      </c>
      <c r="D28" s="94"/>
      <c r="E28" s="25">
        <f>ROUND('Stavební rozpočet'!H273,2)</f>
        <v>0</v>
      </c>
      <c r="F28" s="25">
        <f>ROUND('Stavební rozpočet'!I273,2)</f>
        <v>0</v>
      </c>
      <c r="G28" s="25">
        <f>ROUND('Stavební rozpočet'!J273,2)</f>
        <v>0</v>
      </c>
      <c r="H28" s="27" t="s">
        <v>2573</v>
      </c>
      <c r="I28" s="25">
        <f t="shared" si="0"/>
        <v>0</v>
      </c>
    </row>
    <row r="29" spans="1:9" x14ac:dyDescent="0.25">
      <c r="A29" s="2" t="s">
        <v>46</v>
      </c>
      <c r="B29" s="3" t="s">
        <v>1022</v>
      </c>
      <c r="C29" s="94" t="s">
        <v>1023</v>
      </c>
      <c r="D29" s="94"/>
      <c r="E29" s="25">
        <f>ROUND('Stavební rozpočet'!H337,2)</f>
        <v>0</v>
      </c>
      <c r="F29" s="25">
        <f>ROUND('Stavební rozpočet'!I337,2)</f>
        <v>0</v>
      </c>
      <c r="G29" s="25">
        <f>ROUND('Stavební rozpočet'!J337,2)</f>
        <v>0</v>
      </c>
      <c r="H29" s="27" t="s">
        <v>2573</v>
      </c>
      <c r="I29" s="25">
        <f t="shared" si="0"/>
        <v>0</v>
      </c>
    </row>
    <row r="30" spans="1:9" x14ac:dyDescent="0.25">
      <c r="A30" s="2" t="s">
        <v>46</v>
      </c>
      <c r="B30" s="3" t="s">
        <v>1239</v>
      </c>
      <c r="C30" s="94" t="s">
        <v>1240</v>
      </c>
      <c r="D30" s="94"/>
      <c r="E30" s="25">
        <f>ROUND('Stavební rozpočet'!H409,2)</f>
        <v>0</v>
      </c>
      <c r="F30" s="25">
        <f>ROUND('Stavební rozpočet'!I409,2)</f>
        <v>0</v>
      </c>
      <c r="G30" s="25">
        <f>ROUND('Stavební rozpočet'!J409,2)</f>
        <v>0</v>
      </c>
      <c r="H30" s="27" t="s">
        <v>2573</v>
      </c>
      <c r="I30" s="25">
        <f t="shared" si="0"/>
        <v>0</v>
      </c>
    </row>
    <row r="31" spans="1:9" x14ac:dyDescent="0.25">
      <c r="A31" s="2" t="s">
        <v>46</v>
      </c>
      <c r="B31" s="3" t="s">
        <v>1420</v>
      </c>
      <c r="C31" s="94" t="s">
        <v>1421</v>
      </c>
      <c r="D31" s="94"/>
      <c r="E31" s="25">
        <f>ROUND('Stavební rozpočet'!H471,2)</f>
        <v>0</v>
      </c>
      <c r="F31" s="25">
        <f>ROUND('Stavební rozpočet'!I471,2)</f>
        <v>0</v>
      </c>
      <c r="G31" s="25">
        <f>ROUND('Stavební rozpočet'!J471,2)</f>
        <v>0</v>
      </c>
      <c r="H31" s="27" t="s">
        <v>2573</v>
      </c>
      <c r="I31" s="25">
        <f t="shared" si="0"/>
        <v>0</v>
      </c>
    </row>
    <row r="32" spans="1:9" x14ac:dyDescent="0.25">
      <c r="A32" s="2" t="s">
        <v>46</v>
      </c>
      <c r="B32" s="3" t="s">
        <v>1433</v>
      </c>
      <c r="C32" s="94" t="s">
        <v>1434</v>
      </c>
      <c r="D32" s="94"/>
      <c r="E32" s="25">
        <f>ROUND('Stavební rozpočet'!H475,2)</f>
        <v>0</v>
      </c>
      <c r="F32" s="25">
        <f>ROUND('Stavební rozpočet'!I475,2)</f>
        <v>0</v>
      </c>
      <c r="G32" s="25">
        <f>ROUND('Stavební rozpočet'!J475,2)</f>
        <v>0</v>
      </c>
      <c r="H32" s="27" t="s">
        <v>2573</v>
      </c>
      <c r="I32" s="25">
        <f t="shared" si="0"/>
        <v>0</v>
      </c>
    </row>
    <row r="33" spans="1:9" x14ac:dyDescent="0.25">
      <c r="A33" s="2" t="s">
        <v>46</v>
      </c>
      <c r="B33" s="3" t="s">
        <v>1448</v>
      </c>
      <c r="C33" s="94" t="s">
        <v>1449</v>
      </c>
      <c r="D33" s="94"/>
      <c r="E33" s="25">
        <f>ROUND('Stavební rozpočet'!H480,2)</f>
        <v>0</v>
      </c>
      <c r="F33" s="25">
        <f>ROUND('Stavební rozpočet'!I480,2)</f>
        <v>0</v>
      </c>
      <c r="G33" s="25">
        <f>ROUND('Stavební rozpočet'!J480,2)</f>
        <v>0</v>
      </c>
      <c r="H33" s="27" t="s">
        <v>2573</v>
      </c>
      <c r="I33" s="25">
        <f t="shared" si="0"/>
        <v>0</v>
      </c>
    </row>
    <row r="34" spans="1:9" x14ac:dyDescent="0.25">
      <c r="A34" s="2" t="s">
        <v>46</v>
      </c>
      <c r="B34" s="3" t="s">
        <v>1541</v>
      </c>
      <c r="C34" s="94" t="s">
        <v>1542</v>
      </c>
      <c r="D34" s="94"/>
      <c r="E34" s="25">
        <f>ROUND('Stavební rozpočet'!H511,2)</f>
        <v>0</v>
      </c>
      <c r="F34" s="25">
        <f>ROUND('Stavební rozpočet'!I511,2)</f>
        <v>0</v>
      </c>
      <c r="G34" s="25">
        <f>ROUND('Stavební rozpočet'!J511,2)</f>
        <v>0</v>
      </c>
      <c r="H34" s="27" t="s">
        <v>2573</v>
      </c>
      <c r="I34" s="25">
        <f t="shared" si="0"/>
        <v>0</v>
      </c>
    </row>
    <row r="35" spans="1:9" x14ac:dyDescent="0.25">
      <c r="A35" s="2" t="s">
        <v>46</v>
      </c>
      <c r="B35" s="3" t="s">
        <v>1646</v>
      </c>
      <c r="C35" s="94" t="s">
        <v>1647</v>
      </c>
      <c r="D35" s="94"/>
      <c r="E35" s="25">
        <f>ROUND('Stavební rozpočet'!H546,2)</f>
        <v>0</v>
      </c>
      <c r="F35" s="25">
        <f>ROUND('Stavební rozpočet'!I546,2)</f>
        <v>0</v>
      </c>
      <c r="G35" s="25">
        <f>ROUND('Stavební rozpočet'!J546,2)</f>
        <v>0</v>
      </c>
      <c r="H35" s="27" t="s">
        <v>2573</v>
      </c>
      <c r="I35" s="25">
        <f t="shared" si="0"/>
        <v>0</v>
      </c>
    </row>
    <row r="36" spans="1:9" x14ac:dyDescent="0.25">
      <c r="A36" s="2" t="s">
        <v>46</v>
      </c>
      <c r="B36" s="3" t="s">
        <v>1680</v>
      </c>
      <c r="C36" s="94" t="s">
        <v>1681</v>
      </c>
      <c r="D36" s="94"/>
      <c r="E36" s="25">
        <f>ROUND('Stavební rozpočet'!H557,2)</f>
        <v>0</v>
      </c>
      <c r="F36" s="25">
        <f>ROUND('Stavební rozpočet'!I557,2)</f>
        <v>0</v>
      </c>
      <c r="G36" s="25">
        <f>ROUND('Stavební rozpočet'!J557,2)</f>
        <v>0</v>
      </c>
      <c r="H36" s="27" t="s">
        <v>2573</v>
      </c>
      <c r="I36" s="25">
        <f t="shared" si="0"/>
        <v>0</v>
      </c>
    </row>
    <row r="37" spans="1:9" x14ac:dyDescent="0.25">
      <c r="A37" s="2" t="s">
        <v>46</v>
      </c>
      <c r="B37" s="3" t="s">
        <v>1716</v>
      </c>
      <c r="C37" s="94" t="s">
        <v>1717</v>
      </c>
      <c r="D37" s="94"/>
      <c r="E37" s="25">
        <f>ROUND('Stavební rozpočet'!H569,2)</f>
        <v>0</v>
      </c>
      <c r="F37" s="25">
        <f>ROUND('Stavební rozpočet'!I569,2)</f>
        <v>0</v>
      </c>
      <c r="G37" s="25">
        <f>ROUND('Stavební rozpočet'!J569,2)</f>
        <v>0</v>
      </c>
      <c r="H37" s="27" t="s">
        <v>2573</v>
      </c>
      <c r="I37" s="25">
        <f t="shared" si="0"/>
        <v>0</v>
      </c>
    </row>
    <row r="38" spans="1:9" x14ac:dyDescent="0.25">
      <c r="A38" s="2" t="s">
        <v>46</v>
      </c>
      <c r="B38" s="3" t="s">
        <v>1744</v>
      </c>
      <c r="C38" s="94" t="s">
        <v>1745</v>
      </c>
      <c r="D38" s="94"/>
      <c r="E38" s="25">
        <f>ROUND('Stavební rozpočet'!H578,2)</f>
        <v>0</v>
      </c>
      <c r="F38" s="25">
        <f>ROUND('Stavební rozpočet'!I578,2)</f>
        <v>0</v>
      </c>
      <c r="G38" s="25">
        <f>ROUND('Stavební rozpočet'!J578,2)</f>
        <v>0</v>
      </c>
      <c r="H38" s="27" t="s">
        <v>2573</v>
      </c>
      <c r="I38" s="25">
        <f t="shared" si="0"/>
        <v>0</v>
      </c>
    </row>
    <row r="39" spans="1:9" x14ac:dyDescent="0.25">
      <c r="A39" s="2" t="s">
        <v>46</v>
      </c>
      <c r="B39" s="3" t="s">
        <v>1777</v>
      </c>
      <c r="C39" s="94" t="s">
        <v>1778</v>
      </c>
      <c r="D39" s="94"/>
      <c r="E39" s="25">
        <f>ROUND('Stavební rozpočet'!H590,2)</f>
        <v>0</v>
      </c>
      <c r="F39" s="25">
        <f>ROUND('Stavební rozpočet'!I590,2)</f>
        <v>0</v>
      </c>
      <c r="G39" s="25">
        <f>ROUND('Stavební rozpočet'!J590,2)</f>
        <v>0</v>
      </c>
      <c r="H39" s="27" t="s">
        <v>2573</v>
      </c>
      <c r="I39" s="25">
        <f t="shared" si="0"/>
        <v>0</v>
      </c>
    </row>
    <row r="40" spans="1:9" x14ac:dyDescent="0.25">
      <c r="A40" s="2" t="s">
        <v>46</v>
      </c>
      <c r="B40" s="3" t="s">
        <v>1809</v>
      </c>
      <c r="C40" s="94" t="s">
        <v>1810</v>
      </c>
      <c r="D40" s="94"/>
      <c r="E40" s="25">
        <f>ROUND('Stavební rozpočet'!H602,2)</f>
        <v>0</v>
      </c>
      <c r="F40" s="25">
        <f>ROUND('Stavební rozpočet'!I602,2)</f>
        <v>0</v>
      </c>
      <c r="G40" s="25">
        <f>ROUND('Stavební rozpočet'!J602,2)</f>
        <v>0</v>
      </c>
      <c r="H40" s="27" t="s">
        <v>2573</v>
      </c>
      <c r="I40" s="25">
        <f t="shared" si="0"/>
        <v>0</v>
      </c>
    </row>
    <row r="41" spans="1:9" x14ac:dyDescent="0.25">
      <c r="A41" s="2" t="s">
        <v>46</v>
      </c>
      <c r="B41" s="3" t="s">
        <v>1830</v>
      </c>
      <c r="C41" s="94" t="s">
        <v>1831</v>
      </c>
      <c r="D41" s="94"/>
      <c r="E41" s="25">
        <f>ROUND('Stavební rozpočet'!H609,2)</f>
        <v>0</v>
      </c>
      <c r="F41" s="25">
        <f>ROUND('Stavební rozpočet'!I609,2)</f>
        <v>0</v>
      </c>
      <c r="G41" s="25">
        <f>ROUND('Stavební rozpočet'!J609,2)</f>
        <v>0</v>
      </c>
      <c r="H41" s="27" t="s">
        <v>2573</v>
      </c>
      <c r="I41" s="25">
        <f t="shared" si="0"/>
        <v>0</v>
      </c>
    </row>
    <row r="42" spans="1:9" x14ac:dyDescent="0.25">
      <c r="A42" s="2" t="s">
        <v>46</v>
      </c>
      <c r="B42" s="3" t="s">
        <v>2124</v>
      </c>
      <c r="C42" s="94" t="s">
        <v>2125</v>
      </c>
      <c r="D42" s="94"/>
      <c r="E42" s="25">
        <f>ROUND('Stavební rozpočet'!H707,2)</f>
        <v>0</v>
      </c>
      <c r="F42" s="25">
        <f>ROUND('Stavební rozpočet'!I707,2)</f>
        <v>0</v>
      </c>
      <c r="G42" s="25">
        <f>ROUND('Stavební rozpočet'!J707,2)</f>
        <v>0</v>
      </c>
      <c r="H42" s="27" t="s">
        <v>2573</v>
      </c>
      <c r="I42" s="25">
        <f t="shared" si="0"/>
        <v>0</v>
      </c>
    </row>
    <row r="43" spans="1:9" x14ac:dyDescent="0.25">
      <c r="A43" s="2" t="s">
        <v>46</v>
      </c>
      <c r="B43" s="3" t="s">
        <v>2241</v>
      </c>
      <c r="C43" s="94" t="s">
        <v>2242</v>
      </c>
      <c r="D43" s="94"/>
      <c r="E43" s="25">
        <f>ROUND('Stavební rozpočet'!H746,2)</f>
        <v>0</v>
      </c>
      <c r="F43" s="25">
        <f>ROUND('Stavební rozpočet'!I746,2)</f>
        <v>0</v>
      </c>
      <c r="G43" s="25">
        <f>ROUND('Stavební rozpočet'!J746,2)</f>
        <v>0</v>
      </c>
      <c r="H43" s="27" t="s">
        <v>2573</v>
      </c>
      <c r="I43" s="25">
        <f t="shared" si="0"/>
        <v>0</v>
      </c>
    </row>
    <row r="44" spans="1:9" x14ac:dyDescent="0.25">
      <c r="A44" s="2" t="s">
        <v>46</v>
      </c>
      <c r="B44" s="3" t="s">
        <v>2295</v>
      </c>
      <c r="C44" s="94" t="s">
        <v>2296</v>
      </c>
      <c r="D44" s="94"/>
      <c r="E44" s="25">
        <f>ROUND('Stavební rozpočet'!H766,2)</f>
        <v>0</v>
      </c>
      <c r="F44" s="25">
        <f>ROUND('Stavební rozpočet'!I766,2)</f>
        <v>0</v>
      </c>
      <c r="G44" s="25">
        <f>ROUND('Stavební rozpočet'!J766,2)</f>
        <v>0</v>
      </c>
      <c r="H44" s="27" t="s">
        <v>2573</v>
      </c>
      <c r="I44" s="25">
        <f t="shared" si="0"/>
        <v>0</v>
      </c>
    </row>
    <row r="45" spans="1:9" x14ac:dyDescent="0.25">
      <c r="A45" s="2" t="s">
        <v>46</v>
      </c>
      <c r="B45" s="3" t="s">
        <v>2343</v>
      </c>
      <c r="C45" s="94" t="s">
        <v>2344</v>
      </c>
      <c r="D45" s="94"/>
      <c r="E45" s="25">
        <f>ROUND('Stavební rozpočet'!H786,2)</f>
        <v>0</v>
      </c>
      <c r="F45" s="25">
        <f>ROUND('Stavební rozpočet'!I786,2)</f>
        <v>0</v>
      </c>
      <c r="G45" s="25">
        <f>ROUND('Stavební rozpočet'!J786,2)</f>
        <v>0</v>
      </c>
      <c r="H45" s="27" t="s">
        <v>2573</v>
      </c>
      <c r="I45" s="25">
        <f t="shared" si="0"/>
        <v>0</v>
      </c>
    </row>
    <row r="46" spans="1:9" x14ac:dyDescent="0.25">
      <c r="A46" s="2" t="s">
        <v>46</v>
      </c>
      <c r="B46" s="3" t="s">
        <v>2380</v>
      </c>
      <c r="C46" s="94" t="s">
        <v>2381</v>
      </c>
      <c r="D46" s="94"/>
      <c r="E46" s="25">
        <f>ROUND('Stavební rozpočet'!H801,2)</f>
        <v>0</v>
      </c>
      <c r="F46" s="25">
        <f>ROUND('Stavební rozpočet'!I801,2)</f>
        <v>0</v>
      </c>
      <c r="G46" s="25">
        <f>ROUND('Stavební rozpočet'!J801,2)</f>
        <v>0</v>
      </c>
      <c r="H46" s="27" t="s">
        <v>2573</v>
      </c>
      <c r="I46" s="25">
        <f t="shared" si="0"/>
        <v>0</v>
      </c>
    </row>
    <row r="47" spans="1:9" x14ac:dyDescent="0.25">
      <c r="A47" s="2" t="s">
        <v>46</v>
      </c>
      <c r="B47" s="3" t="s">
        <v>2409</v>
      </c>
      <c r="C47" s="94" t="s">
        <v>2410</v>
      </c>
      <c r="D47" s="94"/>
      <c r="E47" s="25">
        <f>ROUND('Stavební rozpočet'!H816,2)</f>
        <v>0</v>
      </c>
      <c r="F47" s="25">
        <f>ROUND('Stavební rozpočet'!I816,2)</f>
        <v>0</v>
      </c>
      <c r="G47" s="25">
        <f>ROUND('Stavební rozpočet'!J816,2)</f>
        <v>0</v>
      </c>
      <c r="H47" s="27" t="s">
        <v>2573</v>
      </c>
      <c r="I47" s="25">
        <f t="shared" si="0"/>
        <v>0</v>
      </c>
    </row>
    <row r="48" spans="1:9" x14ac:dyDescent="0.25">
      <c r="A48" s="2" t="s">
        <v>46</v>
      </c>
      <c r="B48" s="3" t="s">
        <v>2446</v>
      </c>
      <c r="C48" s="94" t="s">
        <v>2447</v>
      </c>
      <c r="D48" s="94"/>
      <c r="E48" s="25">
        <f>ROUND('Stavební rozpočet'!H829,2)</f>
        <v>0</v>
      </c>
      <c r="F48" s="25">
        <f>ROUND('Stavební rozpočet'!I829,2)</f>
        <v>0</v>
      </c>
      <c r="G48" s="25">
        <f>ROUND('Stavební rozpočet'!J829,2)</f>
        <v>0</v>
      </c>
      <c r="H48" s="27" t="s">
        <v>2573</v>
      </c>
      <c r="I48" s="25">
        <f t="shared" si="0"/>
        <v>0</v>
      </c>
    </row>
    <row r="49" spans="1:9" x14ac:dyDescent="0.25">
      <c r="A49" s="2" t="s">
        <v>46</v>
      </c>
      <c r="B49" s="3" t="s">
        <v>2533</v>
      </c>
      <c r="C49" s="94" t="s">
        <v>2534</v>
      </c>
      <c r="D49" s="94"/>
      <c r="E49" s="25">
        <f>ROUND('Stavební rozpočet'!H862,2)</f>
        <v>0</v>
      </c>
      <c r="F49" s="25">
        <f>ROUND('Stavební rozpočet'!I862,2)</f>
        <v>0</v>
      </c>
      <c r="G49" s="25">
        <f>ROUND('Stavební rozpočet'!J862,2)</f>
        <v>0</v>
      </c>
      <c r="H49" s="27" t="s">
        <v>2590</v>
      </c>
      <c r="I49" s="25">
        <f t="shared" si="0"/>
        <v>0</v>
      </c>
    </row>
    <row r="50" spans="1:9" x14ac:dyDescent="0.25">
      <c r="A50" s="2" t="s">
        <v>46</v>
      </c>
      <c r="B50" s="3" t="s">
        <v>2535</v>
      </c>
      <c r="C50" s="94" t="s">
        <v>2536</v>
      </c>
      <c r="D50" s="94"/>
      <c r="E50" s="25">
        <f>ROUND('Stavební rozpočet'!H863,2)</f>
        <v>0</v>
      </c>
      <c r="F50" s="25">
        <f>ROUND('Stavební rozpočet'!I863,2)</f>
        <v>0</v>
      </c>
      <c r="G50" s="25">
        <f>ROUND('Stavební rozpočet'!J863,2)</f>
        <v>0</v>
      </c>
      <c r="H50" s="27" t="s">
        <v>2573</v>
      </c>
      <c r="I50" s="25">
        <f t="shared" si="0"/>
        <v>0</v>
      </c>
    </row>
    <row r="51" spans="1:9" x14ac:dyDescent="0.25">
      <c r="A51" s="2" t="s">
        <v>46</v>
      </c>
      <c r="B51" s="3" t="s">
        <v>2545</v>
      </c>
      <c r="C51" s="94" t="s">
        <v>2546</v>
      </c>
      <c r="D51" s="94"/>
      <c r="E51" s="25">
        <f>ROUND('Stavební rozpočet'!H866,2)</f>
        <v>0</v>
      </c>
      <c r="F51" s="25">
        <f>ROUND('Stavební rozpočet'!I866,2)</f>
        <v>0</v>
      </c>
      <c r="G51" s="25">
        <f>ROUND('Stavební rozpočet'!J866,2)</f>
        <v>0</v>
      </c>
      <c r="H51" s="27" t="s">
        <v>2573</v>
      </c>
      <c r="I51" s="25">
        <f t="shared" si="0"/>
        <v>0</v>
      </c>
    </row>
    <row r="52" spans="1:9" x14ac:dyDescent="0.25">
      <c r="A52" s="2" t="s">
        <v>46</v>
      </c>
      <c r="B52" s="3" t="s">
        <v>2550</v>
      </c>
      <c r="C52" s="94" t="s">
        <v>2551</v>
      </c>
      <c r="D52" s="94"/>
      <c r="E52" s="25">
        <f>ROUND('Stavební rozpočet'!H868,2)</f>
        <v>0</v>
      </c>
      <c r="F52" s="25">
        <f>ROUND('Stavební rozpočet'!I868,2)</f>
        <v>0</v>
      </c>
      <c r="G52" s="25">
        <f>ROUND('Stavební rozpočet'!J868,2)</f>
        <v>0</v>
      </c>
      <c r="H52" s="27" t="s">
        <v>2573</v>
      </c>
      <c r="I52" s="25">
        <f t="shared" si="0"/>
        <v>0</v>
      </c>
    </row>
    <row r="53" spans="1:9" x14ac:dyDescent="0.25">
      <c r="A53" s="2" t="s">
        <v>46</v>
      </c>
      <c r="B53" s="3" t="s">
        <v>2559</v>
      </c>
      <c r="C53" s="94" t="s">
        <v>2560</v>
      </c>
      <c r="D53" s="94"/>
      <c r="E53" s="25">
        <f>ROUND('Stavební rozpočet'!H871,2)</f>
        <v>0</v>
      </c>
      <c r="F53" s="25">
        <f>ROUND('Stavební rozpočet'!I871,2)</f>
        <v>0</v>
      </c>
      <c r="G53" s="25">
        <f>ROUND('Stavební rozpočet'!J871,2)</f>
        <v>0</v>
      </c>
      <c r="H53" s="27" t="s">
        <v>2573</v>
      </c>
      <c r="I53" s="25">
        <f t="shared" si="0"/>
        <v>0</v>
      </c>
    </row>
    <row r="54" spans="1:9" x14ac:dyDescent="0.25">
      <c r="A54" s="2" t="s">
        <v>46</v>
      </c>
      <c r="B54" s="3" t="s">
        <v>2564</v>
      </c>
      <c r="C54" s="94" t="s">
        <v>2565</v>
      </c>
      <c r="D54" s="94"/>
      <c r="E54" s="25">
        <f>ROUND('Stavební rozpočet'!H873,2)</f>
        <v>0</v>
      </c>
      <c r="F54" s="25">
        <f>ROUND('Stavební rozpočet'!I873,2)</f>
        <v>0</v>
      </c>
      <c r="G54" s="25">
        <f>ROUND('Stavební rozpočet'!J873,2)</f>
        <v>0</v>
      </c>
      <c r="H54" s="27" t="s">
        <v>2573</v>
      </c>
      <c r="I54" s="25">
        <f t="shared" si="0"/>
        <v>0</v>
      </c>
    </row>
    <row r="55" spans="1:9" x14ac:dyDescent="0.25">
      <c r="F55" s="4" t="s">
        <v>2569</v>
      </c>
      <c r="G55" s="48">
        <f>ROUND(SUM(I11:I54),1)</f>
        <v>0</v>
      </c>
    </row>
  </sheetData>
  <mergeCells count="69"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  <mergeCell ref="G2:G3"/>
    <mergeCell ref="G4:G5"/>
    <mergeCell ref="G6:G7"/>
    <mergeCell ref="G8:G9"/>
    <mergeCell ref="C11:D11"/>
    <mergeCell ref="C8:C9"/>
    <mergeCell ref="E2:E3"/>
    <mergeCell ref="E4:E5"/>
    <mergeCell ref="E6:E7"/>
    <mergeCell ref="E8:E9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52:D52"/>
    <mergeCell ref="C53:D53"/>
    <mergeCell ref="C54:D54"/>
    <mergeCell ref="C47:D47"/>
    <mergeCell ref="C48:D48"/>
    <mergeCell ref="C49:D49"/>
    <mergeCell ref="C50:D50"/>
    <mergeCell ref="C51:D51"/>
  </mergeCells>
  <pageMargins left="0.393999993801117" right="0.393999993801117" top="0.59100002050399802" bottom="0.59100002050399802" header="0" footer="0"/>
  <pageSetup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Z877"/>
  <sheetViews>
    <sheetView workbookViewId="0">
      <pane ySplit="11" topLeftCell="A825" activePane="bottomLeft" state="frozen"/>
      <selection pane="bottomLeft" activeCell="J873" sqref="J873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42.85546875" customWidth="1"/>
    <col min="4" max="4" width="35.7109375" customWidth="1"/>
    <col min="5" max="5" width="4.85546875" customWidth="1"/>
    <col min="6" max="6" width="12.85546875" customWidth="1"/>
    <col min="7" max="7" width="12" customWidth="1"/>
    <col min="8" max="9" width="15.7109375" hidden="1" customWidth="1"/>
    <col min="10" max="10" width="15.7109375" customWidth="1"/>
    <col min="11" max="11" width="13.42578125" hidden="1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139" t="s">
        <v>1</v>
      </c>
      <c r="B2" s="140"/>
      <c r="C2" s="134" t="s">
        <v>2</v>
      </c>
      <c r="D2" s="135"/>
      <c r="E2" s="140" t="s">
        <v>3</v>
      </c>
      <c r="F2" s="140"/>
      <c r="G2" s="140" t="s">
        <v>4</v>
      </c>
      <c r="H2" s="131" t="s">
        <v>5</v>
      </c>
      <c r="I2" s="140" t="s">
        <v>6</v>
      </c>
      <c r="J2" s="140"/>
      <c r="K2" s="142"/>
    </row>
    <row r="3" spans="1:76" x14ac:dyDescent="0.25">
      <c r="A3" s="141"/>
      <c r="B3" s="94"/>
      <c r="C3" s="136"/>
      <c r="D3" s="136"/>
      <c r="E3" s="94"/>
      <c r="F3" s="94"/>
      <c r="G3" s="94"/>
      <c r="H3" s="94"/>
      <c r="I3" s="94"/>
      <c r="J3" s="94"/>
      <c r="K3" s="143"/>
    </row>
    <row r="4" spans="1:76" x14ac:dyDescent="0.25">
      <c r="A4" s="132" t="s">
        <v>7</v>
      </c>
      <c r="B4" s="94"/>
      <c r="C4" s="93" t="s">
        <v>4</v>
      </c>
      <c r="D4" s="94"/>
      <c r="E4" s="94" t="s">
        <v>8</v>
      </c>
      <c r="F4" s="94"/>
      <c r="G4" s="94"/>
      <c r="H4" s="93" t="s">
        <v>9</v>
      </c>
      <c r="I4" s="94" t="s">
        <v>6</v>
      </c>
      <c r="J4" s="94"/>
      <c r="K4" s="143"/>
    </row>
    <row r="5" spans="1:76" x14ac:dyDescent="0.25">
      <c r="A5" s="141"/>
      <c r="B5" s="94"/>
      <c r="C5" s="94"/>
      <c r="D5" s="94"/>
      <c r="E5" s="94"/>
      <c r="F5" s="94"/>
      <c r="G5" s="94"/>
      <c r="H5" s="94"/>
      <c r="I5" s="94"/>
      <c r="J5" s="94"/>
      <c r="K5" s="143"/>
    </row>
    <row r="6" spans="1:76" x14ac:dyDescent="0.25">
      <c r="A6" s="132" t="s">
        <v>10</v>
      </c>
      <c r="B6" s="94"/>
      <c r="C6" s="93" t="s">
        <v>11</v>
      </c>
      <c r="D6" s="94"/>
      <c r="E6" s="94" t="s">
        <v>12</v>
      </c>
      <c r="F6" s="94"/>
      <c r="G6" s="94" t="s">
        <v>4</v>
      </c>
      <c r="H6" s="93" t="s">
        <v>13</v>
      </c>
      <c r="I6" s="94" t="s">
        <v>6</v>
      </c>
      <c r="J6" s="94"/>
      <c r="K6" s="143"/>
    </row>
    <row r="7" spans="1:76" x14ac:dyDescent="0.25">
      <c r="A7" s="141"/>
      <c r="B7" s="94"/>
      <c r="C7" s="94"/>
      <c r="D7" s="94"/>
      <c r="E7" s="94"/>
      <c r="F7" s="94"/>
      <c r="G7" s="94"/>
      <c r="H7" s="94"/>
      <c r="I7" s="94"/>
      <c r="J7" s="94"/>
      <c r="K7" s="143"/>
    </row>
    <row r="8" spans="1:76" x14ac:dyDescent="0.25">
      <c r="A8" s="132" t="s">
        <v>14</v>
      </c>
      <c r="B8" s="94"/>
      <c r="C8" s="93" t="s">
        <v>4</v>
      </c>
      <c r="D8" s="94"/>
      <c r="E8" s="94" t="s">
        <v>15</v>
      </c>
      <c r="F8" s="94"/>
      <c r="G8" s="94"/>
      <c r="H8" s="93" t="s">
        <v>16</v>
      </c>
      <c r="I8" s="94" t="s">
        <v>6</v>
      </c>
      <c r="J8" s="94"/>
      <c r="K8" s="143"/>
    </row>
    <row r="9" spans="1:76" x14ac:dyDescent="0.25">
      <c r="A9" s="164"/>
      <c r="B9" s="160"/>
      <c r="C9" s="160"/>
      <c r="D9" s="160"/>
      <c r="E9" s="160"/>
      <c r="F9" s="160"/>
      <c r="G9" s="160"/>
      <c r="H9" s="160"/>
      <c r="I9" s="160"/>
      <c r="J9" s="160"/>
      <c r="K9" s="161"/>
    </row>
    <row r="10" spans="1:76" x14ac:dyDescent="0.25">
      <c r="A10" s="6" t="s">
        <v>17</v>
      </c>
      <c r="B10" s="7" t="s">
        <v>18</v>
      </c>
      <c r="C10" s="162" t="s">
        <v>19</v>
      </c>
      <c r="D10" s="163"/>
      <c r="E10" s="7" t="s">
        <v>20</v>
      </c>
      <c r="F10" s="8" t="s">
        <v>21</v>
      </c>
      <c r="G10" s="9" t="s">
        <v>22</v>
      </c>
      <c r="H10" s="155" t="s">
        <v>23</v>
      </c>
      <c r="I10" s="156"/>
      <c r="J10" s="157"/>
      <c r="K10" s="10" t="s">
        <v>24</v>
      </c>
      <c r="BK10" s="11" t="s">
        <v>25</v>
      </c>
      <c r="BL10" s="12" t="s">
        <v>26</v>
      </c>
      <c r="BW10" s="12" t="s">
        <v>27</v>
      </c>
    </row>
    <row r="11" spans="1:76" x14ac:dyDescent="0.25">
      <c r="A11" s="13" t="s">
        <v>4</v>
      </c>
      <c r="B11" s="14" t="s">
        <v>4</v>
      </c>
      <c r="C11" s="153" t="s">
        <v>28</v>
      </c>
      <c r="D11" s="154"/>
      <c r="E11" s="14" t="s">
        <v>4</v>
      </c>
      <c r="F11" s="14" t="s">
        <v>4</v>
      </c>
      <c r="G11" s="15" t="s">
        <v>29</v>
      </c>
      <c r="H11" s="16" t="s">
        <v>30</v>
      </c>
      <c r="I11" s="17" t="s">
        <v>31</v>
      </c>
      <c r="J11" s="18" t="s">
        <v>32</v>
      </c>
      <c r="K11" s="19" t="s">
        <v>33</v>
      </c>
      <c r="Z11" s="11" t="s">
        <v>34</v>
      </c>
      <c r="AA11" s="11" t="s">
        <v>35</v>
      </c>
      <c r="AB11" s="11" t="s">
        <v>36</v>
      </c>
      <c r="AC11" s="11" t="s">
        <v>37</v>
      </c>
      <c r="AD11" s="11" t="s">
        <v>38</v>
      </c>
      <c r="AE11" s="11" t="s">
        <v>39</v>
      </c>
      <c r="AF11" s="11" t="s">
        <v>40</v>
      </c>
      <c r="AG11" s="11" t="s">
        <v>41</v>
      </c>
      <c r="AH11" s="11" t="s">
        <v>42</v>
      </c>
      <c r="BH11" s="11" t="s">
        <v>43</v>
      </c>
      <c r="BI11" s="11" t="s">
        <v>44</v>
      </c>
      <c r="BJ11" s="11" t="s">
        <v>45</v>
      </c>
    </row>
    <row r="12" spans="1:76" x14ac:dyDescent="0.25">
      <c r="A12" s="20" t="s">
        <v>46</v>
      </c>
      <c r="B12" s="21" t="s">
        <v>47</v>
      </c>
      <c r="C12" s="158" t="s">
        <v>48</v>
      </c>
      <c r="D12" s="159"/>
      <c r="E12" s="22" t="s">
        <v>4</v>
      </c>
      <c r="F12" s="22" t="s">
        <v>4</v>
      </c>
      <c r="G12" s="22" t="s">
        <v>4</v>
      </c>
      <c r="H12" s="23">
        <f>ROUND(SUM(H13:H22),1)</f>
        <v>0</v>
      </c>
      <c r="I12" s="23">
        <f>ROUND(SUM(I13:I22),1)</f>
        <v>0</v>
      </c>
      <c r="J12" s="23">
        <f>ROUND(SUM(J13:J22),1)</f>
        <v>0</v>
      </c>
      <c r="K12" s="24" t="s">
        <v>46</v>
      </c>
      <c r="AI12" s="11" t="s">
        <v>46</v>
      </c>
      <c r="AS12" s="1">
        <f>SUM(AJ13:AJ22)</f>
        <v>0</v>
      </c>
      <c r="AT12" s="1">
        <f>SUM(AK13:AK22)</f>
        <v>0</v>
      </c>
      <c r="AU12" s="1">
        <f>SUM(AL13:AL22)</f>
        <v>0</v>
      </c>
    </row>
    <row r="13" spans="1:76" ht="25.5" x14ac:dyDescent="0.25">
      <c r="A13" s="2" t="s">
        <v>49</v>
      </c>
      <c r="B13" s="3" t="s">
        <v>50</v>
      </c>
      <c r="C13" s="93" t="s">
        <v>51</v>
      </c>
      <c r="D13" s="94"/>
      <c r="E13" s="3" t="s">
        <v>52</v>
      </c>
      <c r="F13" s="25">
        <v>9</v>
      </c>
      <c r="G13" s="25">
        <v>0</v>
      </c>
      <c r="H13" s="25">
        <f t="shared" ref="H13:H22" si="0">ROUND(F13*AO13,2)</f>
        <v>0</v>
      </c>
      <c r="I13" s="25">
        <f t="shared" ref="I13:I22" si="1">ROUND(F13*AP13,2)</f>
        <v>0</v>
      </c>
      <c r="J13" s="25">
        <f t="shared" ref="J13:J22" si="2">ROUND(F13*G13,1)</f>
        <v>0</v>
      </c>
      <c r="K13" s="26" t="s">
        <v>53</v>
      </c>
      <c r="Z13" s="25">
        <f t="shared" ref="Z13:Z22" si="3">ROUND(IF(AQ13="5",BJ13,0),2)</f>
        <v>0</v>
      </c>
      <c r="AB13" s="25">
        <f t="shared" ref="AB13:AB22" si="4">ROUND(IF(AQ13="1",BH13,0),2)</f>
        <v>0</v>
      </c>
      <c r="AC13" s="25">
        <f t="shared" ref="AC13:AC22" si="5">ROUND(IF(AQ13="1",BI13,0),2)</f>
        <v>0</v>
      </c>
      <c r="AD13" s="25">
        <f t="shared" ref="AD13:AD22" si="6">ROUND(IF(AQ13="7",BH13,0),2)</f>
        <v>0</v>
      </c>
      <c r="AE13" s="25">
        <f t="shared" ref="AE13:AE22" si="7">ROUND(IF(AQ13="7",BI13,0),2)</f>
        <v>0</v>
      </c>
      <c r="AF13" s="25">
        <f t="shared" ref="AF13:AF22" si="8">ROUND(IF(AQ13="2",BH13,0),2)</f>
        <v>0</v>
      </c>
      <c r="AG13" s="25">
        <f t="shared" ref="AG13:AG22" si="9">ROUND(IF(AQ13="2",BI13,0),2)</f>
        <v>0</v>
      </c>
      <c r="AH13" s="25">
        <f t="shared" ref="AH13:AH22" si="10">ROUND(IF(AQ13="0",BJ13,0),2)</f>
        <v>0</v>
      </c>
      <c r="AI13" s="11" t="s">
        <v>46</v>
      </c>
      <c r="AJ13" s="25">
        <f t="shared" ref="AJ13:AJ22" si="11">IF(AN13=0,J13,0)</f>
        <v>0</v>
      </c>
      <c r="AK13" s="25">
        <f t="shared" ref="AK13:AK22" si="12">IF(AN13=12,J13,0)</f>
        <v>0</v>
      </c>
      <c r="AL13" s="25">
        <f t="shared" ref="AL13:AL22" si="13">IF(AN13=21,J13,0)</f>
        <v>0</v>
      </c>
      <c r="AN13" s="25">
        <v>21</v>
      </c>
      <c r="AO13" s="25">
        <f>G13*0.654656632</f>
        <v>0</v>
      </c>
      <c r="AP13" s="25">
        <f>G13*(1-0.654656632)</f>
        <v>0</v>
      </c>
      <c r="AQ13" s="27" t="s">
        <v>49</v>
      </c>
      <c r="AV13" s="25">
        <f t="shared" ref="AV13:AV22" si="14">ROUND(AW13+AX13,2)</f>
        <v>0</v>
      </c>
      <c r="AW13" s="25">
        <f t="shared" ref="AW13:AW22" si="15">ROUND(F13*AO13,2)</f>
        <v>0</v>
      </c>
      <c r="AX13" s="25">
        <f t="shared" ref="AX13:AX22" si="16">ROUND(F13*AP13,2)</f>
        <v>0</v>
      </c>
      <c r="AY13" s="27" t="s">
        <v>54</v>
      </c>
      <c r="AZ13" s="27" t="s">
        <v>55</v>
      </c>
      <c r="BA13" s="11" t="s">
        <v>56</v>
      </c>
      <c r="BC13" s="25">
        <f t="shared" ref="BC13:BC22" si="17">AW13+AX13</f>
        <v>0</v>
      </c>
      <c r="BD13" s="25">
        <f t="shared" ref="BD13:BD22" si="18">G13/(100-BE13)*100</f>
        <v>0</v>
      </c>
      <c r="BE13" s="25">
        <v>0</v>
      </c>
      <c r="BF13" s="25">
        <f>13</f>
        <v>13</v>
      </c>
      <c r="BH13" s="25">
        <f t="shared" ref="BH13:BH22" si="19">F13*AO13</f>
        <v>0</v>
      </c>
      <c r="BI13" s="25">
        <f t="shared" ref="BI13:BI22" si="20">F13*AP13</f>
        <v>0</v>
      </c>
      <c r="BJ13" s="25">
        <f t="shared" ref="BJ13:BJ22" si="21">F13*G13</f>
        <v>0</v>
      </c>
      <c r="BK13" s="27" t="s">
        <v>57</v>
      </c>
      <c r="BL13" s="25">
        <v>31</v>
      </c>
      <c r="BW13" s="25">
        <v>21</v>
      </c>
      <c r="BX13" s="5" t="s">
        <v>51</v>
      </c>
    </row>
    <row r="14" spans="1:76" ht="25.5" x14ac:dyDescent="0.25">
      <c r="A14" s="2" t="s">
        <v>58</v>
      </c>
      <c r="B14" s="3" t="s">
        <v>59</v>
      </c>
      <c r="C14" s="93" t="s">
        <v>60</v>
      </c>
      <c r="D14" s="94"/>
      <c r="E14" s="3" t="s">
        <v>61</v>
      </c>
      <c r="F14" s="25">
        <v>0.76900000000000002</v>
      </c>
      <c r="G14" s="25">
        <v>0</v>
      </c>
      <c r="H14" s="25">
        <f t="shared" si="0"/>
        <v>0</v>
      </c>
      <c r="I14" s="25">
        <f t="shared" si="1"/>
        <v>0</v>
      </c>
      <c r="J14" s="25">
        <f t="shared" si="2"/>
        <v>0</v>
      </c>
      <c r="K14" s="26" t="s">
        <v>53</v>
      </c>
      <c r="Z14" s="25">
        <f t="shared" si="3"/>
        <v>0</v>
      </c>
      <c r="AB14" s="25">
        <f t="shared" si="4"/>
        <v>0</v>
      </c>
      <c r="AC14" s="25">
        <f t="shared" si="5"/>
        <v>0</v>
      </c>
      <c r="AD14" s="25">
        <f t="shared" si="6"/>
        <v>0</v>
      </c>
      <c r="AE14" s="25">
        <f t="shared" si="7"/>
        <v>0</v>
      </c>
      <c r="AF14" s="25">
        <f t="shared" si="8"/>
        <v>0</v>
      </c>
      <c r="AG14" s="25">
        <f t="shared" si="9"/>
        <v>0</v>
      </c>
      <c r="AH14" s="25">
        <f t="shared" si="10"/>
        <v>0</v>
      </c>
      <c r="AI14" s="11" t="s">
        <v>46</v>
      </c>
      <c r="AJ14" s="25">
        <f t="shared" si="11"/>
        <v>0</v>
      </c>
      <c r="AK14" s="25">
        <f t="shared" si="12"/>
        <v>0</v>
      </c>
      <c r="AL14" s="25">
        <f t="shared" si="13"/>
        <v>0</v>
      </c>
      <c r="AN14" s="25">
        <v>21</v>
      </c>
      <c r="AO14" s="25">
        <f>G14*0.679288296</f>
        <v>0</v>
      </c>
      <c r="AP14" s="25">
        <f>G14*(1-0.679288296)</f>
        <v>0</v>
      </c>
      <c r="AQ14" s="27" t="s">
        <v>49</v>
      </c>
      <c r="AV14" s="25">
        <f t="shared" si="14"/>
        <v>0</v>
      </c>
      <c r="AW14" s="25">
        <f t="shared" si="15"/>
        <v>0</v>
      </c>
      <c r="AX14" s="25">
        <f t="shared" si="16"/>
        <v>0</v>
      </c>
      <c r="AY14" s="27" t="s">
        <v>54</v>
      </c>
      <c r="AZ14" s="27" t="s">
        <v>55</v>
      </c>
      <c r="BA14" s="11" t="s">
        <v>56</v>
      </c>
      <c r="BC14" s="25">
        <f t="shared" si="17"/>
        <v>0</v>
      </c>
      <c r="BD14" s="25">
        <f t="shared" si="18"/>
        <v>0</v>
      </c>
      <c r="BE14" s="25">
        <v>0</v>
      </c>
      <c r="BF14" s="25">
        <f>14</f>
        <v>14</v>
      </c>
      <c r="BH14" s="25">
        <f t="shared" si="19"/>
        <v>0</v>
      </c>
      <c r="BI14" s="25">
        <f t="shared" si="20"/>
        <v>0</v>
      </c>
      <c r="BJ14" s="25">
        <f t="shared" si="21"/>
        <v>0</v>
      </c>
      <c r="BK14" s="27" t="s">
        <v>57</v>
      </c>
      <c r="BL14" s="25">
        <v>31</v>
      </c>
      <c r="BW14" s="25">
        <v>21</v>
      </c>
      <c r="BX14" s="5" t="s">
        <v>60</v>
      </c>
    </row>
    <row r="15" spans="1:76" x14ac:dyDescent="0.25">
      <c r="A15" s="2" t="s">
        <v>62</v>
      </c>
      <c r="B15" s="3" t="s">
        <v>63</v>
      </c>
      <c r="C15" s="93" t="s">
        <v>64</v>
      </c>
      <c r="D15" s="94"/>
      <c r="E15" s="3" t="s">
        <v>61</v>
      </c>
      <c r="F15" s="25">
        <v>1.929</v>
      </c>
      <c r="G15" s="25">
        <v>0</v>
      </c>
      <c r="H15" s="25">
        <f t="shared" si="0"/>
        <v>0</v>
      </c>
      <c r="I15" s="25">
        <f t="shared" si="1"/>
        <v>0</v>
      </c>
      <c r="J15" s="25">
        <f t="shared" si="2"/>
        <v>0</v>
      </c>
      <c r="K15" s="26" t="s">
        <v>53</v>
      </c>
      <c r="Z15" s="25">
        <f t="shared" si="3"/>
        <v>0</v>
      </c>
      <c r="AB15" s="25">
        <f t="shared" si="4"/>
        <v>0</v>
      </c>
      <c r="AC15" s="25">
        <f t="shared" si="5"/>
        <v>0</v>
      </c>
      <c r="AD15" s="25">
        <f t="shared" si="6"/>
        <v>0</v>
      </c>
      <c r="AE15" s="25">
        <f t="shared" si="7"/>
        <v>0</v>
      </c>
      <c r="AF15" s="25">
        <f t="shared" si="8"/>
        <v>0</v>
      </c>
      <c r="AG15" s="25">
        <f t="shared" si="9"/>
        <v>0</v>
      </c>
      <c r="AH15" s="25">
        <f t="shared" si="10"/>
        <v>0</v>
      </c>
      <c r="AI15" s="11" t="s">
        <v>46</v>
      </c>
      <c r="AJ15" s="25">
        <f t="shared" si="11"/>
        <v>0</v>
      </c>
      <c r="AK15" s="25">
        <f t="shared" si="12"/>
        <v>0</v>
      </c>
      <c r="AL15" s="25">
        <f t="shared" si="13"/>
        <v>0</v>
      </c>
      <c r="AN15" s="25">
        <v>21</v>
      </c>
      <c r="AO15" s="25">
        <f>G15*0.712362626</f>
        <v>0</v>
      </c>
      <c r="AP15" s="25">
        <f>G15*(1-0.712362626)</f>
        <v>0</v>
      </c>
      <c r="AQ15" s="27" t="s">
        <v>49</v>
      </c>
      <c r="AV15" s="25">
        <f t="shared" si="14"/>
        <v>0</v>
      </c>
      <c r="AW15" s="25">
        <f t="shared" si="15"/>
        <v>0</v>
      </c>
      <c r="AX15" s="25">
        <f t="shared" si="16"/>
        <v>0</v>
      </c>
      <c r="AY15" s="27" t="s">
        <v>54</v>
      </c>
      <c r="AZ15" s="27" t="s">
        <v>55</v>
      </c>
      <c r="BA15" s="11" t="s">
        <v>56</v>
      </c>
      <c r="BC15" s="25">
        <f t="shared" si="17"/>
        <v>0</v>
      </c>
      <c r="BD15" s="25">
        <f t="shared" si="18"/>
        <v>0</v>
      </c>
      <c r="BE15" s="25">
        <v>0</v>
      </c>
      <c r="BF15" s="25">
        <f>15</f>
        <v>15</v>
      </c>
      <c r="BH15" s="25">
        <f t="shared" si="19"/>
        <v>0</v>
      </c>
      <c r="BI15" s="25">
        <f t="shared" si="20"/>
        <v>0</v>
      </c>
      <c r="BJ15" s="25">
        <f t="shared" si="21"/>
        <v>0</v>
      </c>
      <c r="BK15" s="27" t="s">
        <v>57</v>
      </c>
      <c r="BL15" s="25">
        <v>31</v>
      </c>
      <c r="BW15" s="25">
        <v>21</v>
      </c>
      <c r="BX15" s="5" t="s">
        <v>64</v>
      </c>
    </row>
    <row r="16" spans="1:76" x14ac:dyDescent="0.25">
      <c r="A16" s="2" t="s">
        <v>65</v>
      </c>
      <c r="B16" s="3" t="s">
        <v>66</v>
      </c>
      <c r="C16" s="93" t="s">
        <v>67</v>
      </c>
      <c r="D16" s="94"/>
      <c r="E16" s="3" t="s">
        <v>61</v>
      </c>
      <c r="F16" s="25">
        <v>0.499</v>
      </c>
      <c r="G16" s="25">
        <v>0</v>
      </c>
      <c r="H16" s="25">
        <f t="shared" si="0"/>
        <v>0</v>
      </c>
      <c r="I16" s="25">
        <f t="shared" si="1"/>
        <v>0</v>
      </c>
      <c r="J16" s="25">
        <f t="shared" si="2"/>
        <v>0</v>
      </c>
      <c r="K16" s="26" t="s">
        <v>53</v>
      </c>
      <c r="Z16" s="25">
        <f t="shared" si="3"/>
        <v>0</v>
      </c>
      <c r="AB16" s="25">
        <f t="shared" si="4"/>
        <v>0</v>
      </c>
      <c r="AC16" s="25">
        <f t="shared" si="5"/>
        <v>0</v>
      </c>
      <c r="AD16" s="25">
        <f t="shared" si="6"/>
        <v>0</v>
      </c>
      <c r="AE16" s="25">
        <f t="shared" si="7"/>
        <v>0</v>
      </c>
      <c r="AF16" s="25">
        <f t="shared" si="8"/>
        <v>0</v>
      </c>
      <c r="AG16" s="25">
        <f t="shared" si="9"/>
        <v>0</v>
      </c>
      <c r="AH16" s="25">
        <f t="shared" si="10"/>
        <v>0</v>
      </c>
      <c r="AI16" s="11" t="s">
        <v>46</v>
      </c>
      <c r="AJ16" s="25">
        <f t="shared" si="11"/>
        <v>0</v>
      </c>
      <c r="AK16" s="25">
        <f t="shared" si="12"/>
        <v>0</v>
      </c>
      <c r="AL16" s="25">
        <f t="shared" si="13"/>
        <v>0</v>
      </c>
      <c r="AN16" s="25">
        <v>21</v>
      </c>
      <c r="AO16" s="25">
        <f>G16*0.596409837</f>
        <v>0</v>
      </c>
      <c r="AP16" s="25">
        <f>G16*(1-0.596409837)</f>
        <v>0</v>
      </c>
      <c r="AQ16" s="27" t="s">
        <v>49</v>
      </c>
      <c r="AV16" s="25">
        <f t="shared" si="14"/>
        <v>0</v>
      </c>
      <c r="AW16" s="25">
        <f t="shared" si="15"/>
        <v>0</v>
      </c>
      <c r="AX16" s="25">
        <f t="shared" si="16"/>
        <v>0</v>
      </c>
      <c r="AY16" s="27" t="s">
        <v>54</v>
      </c>
      <c r="AZ16" s="27" t="s">
        <v>55</v>
      </c>
      <c r="BA16" s="11" t="s">
        <v>56</v>
      </c>
      <c r="BC16" s="25">
        <f t="shared" si="17"/>
        <v>0</v>
      </c>
      <c r="BD16" s="25">
        <f t="shared" si="18"/>
        <v>0</v>
      </c>
      <c r="BE16" s="25">
        <v>0</v>
      </c>
      <c r="BF16" s="25">
        <f>16</f>
        <v>16</v>
      </c>
      <c r="BH16" s="25">
        <f t="shared" si="19"/>
        <v>0</v>
      </c>
      <c r="BI16" s="25">
        <f t="shared" si="20"/>
        <v>0</v>
      </c>
      <c r="BJ16" s="25">
        <f t="shared" si="21"/>
        <v>0</v>
      </c>
      <c r="BK16" s="27" t="s">
        <v>57</v>
      </c>
      <c r="BL16" s="25">
        <v>31</v>
      </c>
      <c r="BW16" s="25">
        <v>21</v>
      </c>
      <c r="BX16" s="5" t="s">
        <v>67</v>
      </c>
    </row>
    <row r="17" spans="1:76" x14ac:dyDescent="0.25">
      <c r="A17" s="2" t="s">
        <v>68</v>
      </c>
      <c r="B17" s="3" t="s">
        <v>69</v>
      </c>
      <c r="C17" s="93" t="s">
        <v>70</v>
      </c>
      <c r="D17" s="94"/>
      <c r="E17" s="3" t="s">
        <v>71</v>
      </c>
      <c r="F17" s="25">
        <v>0.19800000000000001</v>
      </c>
      <c r="G17" s="25">
        <v>0</v>
      </c>
      <c r="H17" s="25">
        <f t="shared" si="0"/>
        <v>0</v>
      </c>
      <c r="I17" s="25">
        <f t="shared" si="1"/>
        <v>0</v>
      </c>
      <c r="J17" s="25">
        <f t="shared" si="2"/>
        <v>0</v>
      </c>
      <c r="K17" s="26" t="s">
        <v>53</v>
      </c>
      <c r="Z17" s="25">
        <f t="shared" si="3"/>
        <v>0</v>
      </c>
      <c r="AB17" s="25">
        <f t="shared" si="4"/>
        <v>0</v>
      </c>
      <c r="AC17" s="25">
        <f t="shared" si="5"/>
        <v>0</v>
      </c>
      <c r="AD17" s="25">
        <f t="shared" si="6"/>
        <v>0</v>
      </c>
      <c r="AE17" s="25">
        <f t="shared" si="7"/>
        <v>0</v>
      </c>
      <c r="AF17" s="25">
        <f t="shared" si="8"/>
        <v>0</v>
      </c>
      <c r="AG17" s="25">
        <f t="shared" si="9"/>
        <v>0</v>
      </c>
      <c r="AH17" s="25">
        <f t="shared" si="10"/>
        <v>0</v>
      </c>
      <c r="AI17" s="11" t="s">
        <v>46</v>
      </c>
      <c r="AJ17" s="25">
        <f t="shared" si="11"/>
        <v>0</v>
      </c>
      <c r="AK17" s="25">
        <f t="shared" si="12"/>
        <v>0</v>
      </c>
      <c r="AL17" s="25">
        <f t="shared" si="13"/>
        <v>0</v>
      </c>
      <c r="AN17" s="25">
        <v>21</v>
      </c>
      <c r="AO17" s="25">
        <f>G17*0.001591673</f>
        <v>0</v>
      </c>
      <c r="AP17" s="25">
        <f>G17*(1-0.001591673)</f>
        <v>0</v>
      </c>
      <c r="AQ17" s="27" t="s">
        <v>49</v>
      </c>
      <c r="AV17" s="25">
        <f t="shared" si="14"/>
        <v>0</v>
      </c>
      <c r="AW17" s="25">
        <f t="shared" si="15"/>
        <v>0</v>
      </c>
      <c r="AX17" s="25">
        <f t="shared" si="16"/>
        <v>0</v>
      </c>
      <c r="AY17" s="27" t="s">
        <v>54</v>
      </c>
      <c r="AZ17" s="27" t="s">
        <v>55</v>
      </c>
      <c r="BA17" s="11" t="s">
        <v>56</v>
      </c>
      <c r="BC17" s="25">
        <f t="shared" si="17"/>
        <v>0</v>
      </c>
      <c r="BD17" s="25">
        <f t="shared" si="18"/>
        <v>0</v>
      </c>
      <c r="BE17" s="25">
        <v>0</v>
      </c>
      <c r="BF17" s="25">
        <f>17</f>
        <v>17</v>
      </c>
      <c r="BH17" s="25">
        <f t="shared" si="19"/>
        <v>0</v>
      </c>
      <c r="BI17" s="25">
        <f t="shared" si="20"/>
        <v>0</v>
      </c>
      <c r="BJ17" s="25">
        <f t="shared" si="21"/>
        <v>0</v>
      </c>
      <c r="BK17" s="27" t="s">
        <v>57</v>
      </c>
      <c r="BL17" s="25">
        <v>31</v>
      </c>
      <c r="BW17" s="25">
        <v>21</v>
      </c>
      <c r="BX17" s="5" t="s">
        <v>70</v>
      </c>
    </row>
    <row r="18" spans="1:76" x14ac:dyDescent="0.25">
      <c r="A18" s="2" t="s">
        <v>72</v>
      </c>
      <c r="B18" s="3" t="s">
        <v>73</v>
      </c>
      <c r="C18" s="93" t="s">
        <v>74</v>
      </c>
      <c r="D18" s="94"/>
      <c r="E18" s="3" t="s">
        <v>71</v>
      </c>
      <c r="F18" s="25">
        <v>6.0000000000000001E-3</v>
      </c>
      <c r="G18" s="25">
        <v>0</v>
      </c>
      <c r="H18" s="25">
        <f t="shared" si="0"/>
        <v>0</v>
      </c>
      <c r="I18" s="25">
        <f t="shared" si="1"/>
        <v>0</v>
      </c>
      <c r="J18" s="25">
        <f t="shared" si="2"/>
        <v>0</v>
      </c>
      <c r="K18" s="26" t="s">
        <v>53</v>
      </c>
      <c r="Z18" s="25">
        <f t="shared" si="3"/>
        <v>0</v>
      </c>
      <c r="AB18" s="25">
        <f t="shared" si="4"/>
        <v>0</v>
      </c>
      <c r="AC18" s="25">
        <f t="shared" si="5"/>
        <v>0</v>
      </c>
      <c r="AD18" s="25">
        <f t="shared" si="6"/>
        <v>0</v>
      </c>
      <c r="AE18" s="25">
        <f t="shared" si="7"/>
        <v>0</v>
      </c>
      <c r="AF18" s="25">
        <f t="shared" si="8"/>
        <v>0</v>
      </c>
      <c r="AG18" s="25">
        <f t="shared" si="9"/>
        <v>0</v>
      </c>
      <c r="AH18" s="25">
        <f t="shared" si="10"/>
        <v>0</v>
      </c>
      <c r="AI18" s="11" t="s">
        <v>46</v>
      </c>
      <c r="AJ18" s="25">
        <f t="shared" si="11"/>
        <v>0</v>
      </c>
      <c r="AK18" s="25">
        <f t="shared" si="12"/>
        <v>0</v>
      </c>
      <c r="AL18" s="25">
        <f t="shared" si="13"/>
        <v>0</v>
      </c>
      <c r="AN18" s="25">
        <v>21</v>
      </c>
      <c r="AO18" s="25">
        <f>G18*1</f>
        <v>0</v>
      </c>
      <c r="AP18" s="25">
        <f>G18*(1-1)</f>
        <v>0</v>
      </c>
      <c r="AQ18" s="27" t="s">
        <v>49</v>
      </c>
      <c r="AV18" s="25">
        <f t="shared" si="14"/>
        <v>0</v>
      </c>
      <c r="AW18" s="25">
        <f t="shared" si="15"/>
        <v>0</v>
      </c>
      <c r="AX18" s="25">
        <f t="shared" si="16"/>
        <v>0</v>
      </c>
      <c r="AY18" s="27" t="s">
        <v>54</v>
      </c>
      <c r="AZ18" s="27" t="s">
        <v>55</v>
      </c>
      <c r="BA18" s="11" t="s">
        <v>56</v>
      </c>
      <c r="BC18" s="25">
        <f t="shared" si="17"/>
        <v>0</v>
      </c>
      <c r="BD18" s="25">
        <f t="shared" si="18"/>
        <v>0</v>
      </c>
      <c r="BE18" s="25">
        <v>0</v>
      </c>
      <c r="BF18" s="25">
        <f>18</f>
        <v>18</v>
      </c>
      <c r="BH18" s="25">
        <f t="shared" si="19"/>
        <v>0</v>
      </c>
      <c r="BI18" s="25">
        <f t="shared" si="20"/>
        <v>0</v>
      </c>
      <c r="BJ18" s="25">
        <f t="shared" si="21"/>
        <v>0</v>
      </c>
      <c r="BK18" s="27" t="s">
        <v>75</v>
      </c>
      <c r="BL18" s="25">
        <v>31</v>
      </c>
      <c r="BW18" s="25">
        <v>21</v>
      </c>
      <c r="BX18" s="5" t="s">
        <v>74</v>
      </c>
    </row>
    <row r="19" spans="1:76" x14ac:dyDescent="0.25">
      <c r="A19" s="2" t="s">
        <v>76</v>
      </c>
      <c r="B19" s="3" t="s">
        <v>77</v>
      </c>
      <c r="C19" s="93" t="s">
        <v>78</v>
      </c>
      <c r="D19" s="94"/>
      <c r="E19" s="3" t="s">
        <v>71</v>
      </c>
      <c r="F19" s="25">
        <v>0.20200000000000001</v>
      </c>
      <c r="G19" s="25">
        <v>0</v>
      </c>
      <c r="H19" s="25">
        <f t="shared" si="0"/>
        <v>0</v>
      </c>
      <c r="I19" s="25">
        <f t="shared" si="1"/>
        <v>0</v>
      </c>
      <c r="J19" s="25">
        <f t="shared" si="2"/>
        <v>0</v>
      </c>
      <c r="K19" s="26" t="s">
        <v>53</v>
      </c>
      <c r="Z19" s="25">
        <f t="shared" si="3"/>
        <v>0</v>
      </c>
      <c r="AB19" s="25">
        <f t="shared" si="4"/>
        <v>0</v>
      </c>
      <c r="AC19" s="25">
        <f t="shared" si="5"/>
        <v>0</v>
      </c>
      <c r="AD19" s="25">
        <f t="shared" si="6"/>
        <v>0</v>
      </c>
      <c r="AE19" s="25">
        <f t="shared" si="7"/>
        <v>0</v>
      </c>
      <c r="AF19" s="25">
        <f t="shared" si="8"/>
        <v>0</v>
      </c>
      <c r="AG19" s="25">
        <f t="shared" si="9"/>
        <v>0</v>
      </c>
      <c r="AH19" s="25">
        <f t="shared" si="10"/>
        <v>0</v>
      </c>
      <c r="AI19" s="11" t="s">
        <v>46</v>
      </c>
      <c r="AJ19" s="25">
        <f t="shared" si="11"/>
        <v>0</v>
      </c>
      <c r="AK19" s="25">
        <f t="shared" si="12"/>
        <v>0</v>
      </c>
      <c r="AL19" s="25">
        <f t="shared" si="13"/>
        <v>0</v>
      </c>
      <c r="AN19" s="25">
        <v>21</v>
      </c>
      <c r="AO19" s="25">
        <f>G19*1</f>
        <v>0</v>
      </c>
      <c r="AP19" s="25">
        <f>G19*(1-1)</f>
        <v>0</v>
      </c>
      <c r="AQ19" s="27" t="s">
        <v>49</v>
      </c>
      <c r="AV19" s="25">
        <f t="shared" si="14"/>
        <v>0</v>
      </c>
      <c r="AW19" s="25">
        <f t="shared" si="15"/>
        <v>0</v>
      </c>
      <c r="AX19" s="25">
        <f t="shared" si="16"/>
        <v>0</v>
      </c>
      <c r="AY19" s="27" t="s">
        <v>54</v>
      </c>
      <c r="AZ19" s="27" t="s">
        <v>55</v>
      </c>
      <c r="BA19" s="11" t="s">
        <v>56</v>
      </c>
      <c r="BC19" s="25">
        <f t="shared" si="17"/>
        <v>0</v>
      </c>
      <c r="BD19" s="25">
        <f t="shared" si="18"/>
        <v>0</v>
      </c>
      <c r="BE19" s="25">
        <v>0</v>
      </c>
      <c r="BF19" s="25">
        <f>19</f>
        <v>19</v>
      </c>
      <c r="BH19" s="25">
        <f t="shared" si="19"/>
        <v>0</v>
      </c>
      <c r="BI19" s="25">
        <f t="shared" si="20"/>
        <v>0</v>
      </c>
      <c r="BJ19" s="25">
        <f t="shared" si="21"/>
        <v>0</v>
      </c>
      <c r="BK19" s="27" t="s">
        <v>75</v>
      </c>
      <c r="BL19" s="25">
        <v>31</v>
      </c>
      <c r="BW19" s="25">
        <v>21</v>
      </c>
      <c r="BX19" s="5" t="s">
        <v>78</v>
      </c>
    </row>
    <row r="20" spans="1:76" x14ac:dyDescent="0.25">
      <c r="A20" s="2" t="s">
        <v>79</v>
      </c>
      <c r="B20" s="3" t="s">
        <v>80</v>
      </c>
      <c r="C20" s="93" t="s">
        <v>81</v>
      </c>
      <c r="D20" s="94"/>
      <c r="E20" s="3" t="s">
        <v>71</v>
      </c>
      <c r="F20" s="25">
        <v>0.252</v>
      </c>
      <c r="G20" s="25">
        <v>0</v>
      </c>
      <c r="H20" s="25">
        <f t="shared" si="0"/>
        <v>0</v>
      </c>
      <c r="I20" s="25">
        <f t="shared" si="1"/>
        <v>0</v>
      </c>
      <c r="J20" s="25">
        <f t="shared" si="2"/>
        <v>0</v>
      </c>
      <c r="K20" s="26" t="s">
        <v>53</v>
      </c>
      <c r="Z20" s="25">
        <f t="shared" si="3"/>
        <v>0</v>
      </c>
      <c r="AB20" s="25">
        <f t="shared" si="4"/>
        <v>0</v>
      </c>
      <c r="AC20" s="25">
        <f t="shared" si="5"/>
        <v>0</v>
      </c>
      <c r="AD20" s="25">
        <f t="shared" si="6"/>
        <v>0</v>
      </c>
      <c r="AE20" s="25">
        <f t="shared" si="7"/>
        <v>0</v>
      </c>
      <c r="AF20" s="25">
        <f t="shared" si="8"/>
        <v>0</v>
      </c>
      <c r="AG20" s="25">
        <f t="shared" si="9"/>
        <v>0</v>
      </c>
      <c r="AH20" s="25">
        <f t="shared" si="10"/>
        <v>0</v>
      </c>
      <c r="AI20" s="11" t="s">
        <v>46</v>
      </c>
      <c r="AJ20" s="25">
        <f t="shared" si="11"/>
        <v>0</v>
      </c>
      <c r="AK20" s="25">
        <f t="shared" si="12"/>
        <v>0</v>
      </c>
      <c r="AL20" s="25">
        <f t="shared" si="13"/>
        <v>0</v>
      </c>
      <c r="AN20" s="25">
        <v>21</v>
      </c>
      <c r="AO20" s="25">
        <f>G20*0.001522438</f>
        <v>0</v>
      </c>
      <c r="AP20" s="25">
        <f>G20*(1-0.001522438)</f>
        <v>0</v>
      </c>
      <c r="AQ20" s="27" t="s">
        <v>49</v>
      </c>
      <c r="AV20" s="25">
        <f t="shared" si="14"/>
        <v>0</v>
      </c>
      <c r="AW20" s="25">
        <f t="shared" si="15"/>
        <v>0</v>
      </c>
      <c r="AX20" s="25">
        <f t="shared" si="16"/>
        <v>0</v>
      </c>
      <c r="AY20" s="27" t="s">
        <v>54</v>
      </c>
      <c r="AZ20" s="27" t="s">
        <v>55</v>
      </c>
      <c r="BA20" s="11" t="s">
        <v>56</v>
      </c>
      <c r="BC20" s="25">
        <f t="shared" si="17"/>
        <v>0</v>
      </c>
      <c r="BD20" s="25">
        <f t="shared" si="18"/>
        <v>0</v>
      </c>
      <c r="BE20" s="25">
        <v>0</v>
      </c>
      <c r="BF20" s="25">
        <f>20</f>
        <v>20</v>
      </c>
      <c r="BH20" s="25">
        <f t="shared" si="19"/>
        <v>0</v>
      </c>
      <c r="BI20" s="25">
        <f t="shared" si="20"/>
        <v>0</v>
      </c>
      <c r="BJ20" s="25">
        <f t="shared" si="21"/>
        <v>0</v>
      </c>
      <c r="BK20" s="27" t="s">
        <v>57</v>
      </c>
      <c r="BL20" s="25">
        <v>31</v>
      </c>
      <c r="BW20" s="25">
        <v>21</v>
      </c>
      <c r="BX20" s="5" t="s">
        <v>81</v>
      </c>
    </row>
    <row r="21" spans="1:76" x14ac:dyDescent="0.25">
      <c r="A21" s="2" t="s">
        <v>82</v>
      </c>
      <c r="B21" s="3" t="s">
        <v>83</v>
      </c>
      <c r="C21" s="93" t="s">
        <v>84</v>
      </c>
      <c r="D21" s="94"/>
      <c r="E21" s="3" t="s">
        <v>71</v>
      </c>
      <c r="F21" s="25">
        <v>0.108</v>
      </c>
      <c r="G21" s="25">
        <v>0</v>
      </c>
      <c r="H21" s="25">
        <f t="shared" si="0"/>
        <v>0</v>
      </c>
      <c r="I21" s="25">
        <f t="shared" si="1"/>
        <v>0</v>
      </c>
      <c r="J21" s="25">
        <f t="shared" si="2"/>
        <v>0</v>
      </c>
      <c r="K21" s="26" t="s">
        <v>53</v>
      </c>
      <c r="Z21" s="25">
        <f t="shared" si="3"/>
        <v>0</v>
      </c>
      <c r="AB21" s="25">
        <f t="shared" si="4"/>
        <v>0</v>
      </c>
      <c r="AC21" s="25">
        <f t="shared" si="5"/>
        <v>0</v>
      </c>
      <c r="AD21" s="25">
        <f t="shared" si="6"/>
        <v>0</v>
      </c>
      <c r="AE21" s="25">
        <f t="shared" si="7"/>
        <v>0</v>
      </c>
      <c r="AF21" s="25">
        <f t="shared" si="8"/>
        <v>0</v>
      </c>
      <c r="AG21" s="25">
        <f t="shared" si="9"/>
        <v>0</v>
      </c>
      <c r="AH21" s="25">
        <f t="shared" si="10"/>
        <v>0</v>
      </c>
      <c r="AI21" s="11" t="s">
        <v>46</v>
      </c>
      <c r="AJ21" s="25">
        <f t="shared" si="11"/>
        <v>0</v>
      </c>
      <c r="AK21" s="25">
        <f t="shared" si="12"/>
        <v>0</v>
      </c>
      <c r="AL21" s="25">
        <f t="shared" si="13"/>
        <v>0</v>
      </c>
      <c r="AN21" s="25">
        <v>21</v>
      </c>
      <c r="AO21" s="25">
        <f>G21*1</f>
        <v>0</v>
      </c>
      <c r="AP21" s="25">
        <f>G21*(1-1)</f>
        <v>0</v>
      </c>
      <c r="AQ21" s="27" t="s">
        <v>49</v>
      </c>
      <c r="AV21" s="25">
        <f t="shared" si="14"/>
        <v>0</v>
      </c>
      <c r="AW21" s="25">
        <f t="shared" si="15"/>
        <v>0</v>
      </c>
      <c r="AX21" s="25">
        <f t="shared" si="16"/>
        <v>0</v>
      </c>
      <c r="AY21" s="27" t="s">
        <v>54</v>
      </c>
      <c r="AZ21" s="27" t="s">
        <v>55</v>
      </c>
      <c r="BA21" s="11" t="s">
        <v>56</v>
      </c>
      <c r="BC21" s="25">
        <f t="shared" si="17"/>
        <v>0</v>
      </c>
      <c r="BD21" s="25">
        <f t="shared" si="18"/>
        <v>0</v>
      </c>
      <c r="BE21" s="25">
        <v>0</v>
      </c>
      <c r="BF21" s="25">
        <f>21</f>
        <v>21</v>
      </c>
      <c r="BH21" s="25">
        <f t="shared" si="19"/>
        <v>0</v>
      </c>
      <c r="BI21" s="25">
        <f t="shared" si="20"/>
        <v>0</v>
      </c>
      <c r="BJ21" s="25">
        <f t="shared" si="21"/>
        <v>0</v>
      </c>
      <c r="BK21" s="27" t="s">
        <v>75</v>
      </c>
      <c r="BL21" s="25">
        <v>31</v>
      </c>
      <c r="BW21" s="25">
        <v>21</v>
      </c>
      <c r="BX21" s="5" t="s">
        <v>84</v>
      </c>
    </row>
    <row r="22" spans="1:76" x14ac:dyDescent="0.25">
      <c r="A22" s="2" t="s">
        <v>85</v>
      </c>
      <c r="B22" s="3" t="s">
        <v>86</v>
      </c>
      <c r="C22" s="93" t="s">
        <v>87</v>
      </c>
      <c r="D22" s="94"/>
      <c r="E22" s="3" t="s">
        <v>71</v>
      </c>
      <c r="F22" s="25">
        <v>0.156</v>
      </c>
      <c r="G22" s="25">
        <v>0</v>
      </c>
      <c r="H22" s="25">
        <f t="shared" si="0"/>
        <v>0</v>
      </c>
      <c r="I22" s="25">
        <f t="shared" si="1"/>
        <v>0</v>
      </c>
      <c r="J22" s="25">
        <f t="shared" si="2"/>
        <v>0</v>
      </c>
      <c r="K22" s="26" t="s">
        <v>53</v>
      </c>
      <c r="Z22" s="25">
        <f t="shared" si="3"/>
        <v>0</v>
      </c>
      <c r="AB22" s="25">
        <f t="shared" si="4"/>
        <v>0</v>
      </c>
      <c r="AC22" s="25">
        <f t="shared" si="5"/>
        <v>0</v>
      </c>
      <c r="AD22" s="25">
        <f t="shared" si="6"/>
        <v>0</v>
      </c>
      <c r="AE22" s="25">
        <f t="shared" si="7"/>
        <v>0</v>
      </c>
      <c r="AF22" s="25">
        <f t="shared" si="8"/>
        <v>0</v>
      </c>
      <c r="AG22" s="25">
        <f t="shared" si="9"/>
        <v>0</v>
      </c>
      <c r="AH22" s="25">
        <f t="shared" si="10"/>
        <v>0</v>
      </c>
      <c r="AI22" s="11" t="s">
        <v>46</v>
      </c>
      <c r="AJ22" s="25">
        <f t="shared" si="11"/>
        <v>0</v>
      </c>
      <c r="AK22" s="25">
        <f t="shared" si="12"/>
        <v>0</v>
      </c>
      <c r="AL22" s="25">
        <f t="shared" si="13"/>
        <v>0</v>
      </c>
      <c r="AN22" s="25">
        <v>21</v>
      </c>
      <c r="AO22" s="25">
        <f>G22*1</f>
        <v>0</v>
      </c>
      <c r="AP22" s="25">
        <f>G22*(1-1)</f>
        <v>0</v>
      </c>
      <c r="AQ22" s="27" t="s">
        <v>49</v>
      </c>
      <c r="AV22" s="25">
        <f t="shared" si="14"/>
        <v>0</v>
      </c>
      <c r="AW22" s="25">
        <f t="shared" si="15"/>
        <v>0</v>
      </c>
      <c r="AX22" s="25">
        <f t="shared" si="16"/>
        <v>0</v>
      </c>
      <c r="AY22" s="27" t="s">
        <v>54</v>
      </c>
      <c r="AZ22" s="27" t="s">
        <v>55</v>
      </c>
      <c r="BA22" s="11" t="s">
        <v>56</v>
      </c>
      <c r="BC22" s="25">
        <f t="shared" si="17"/>
        <v>0</v>
      </c>
      <c r="BD22" s="25">
        <f t="shared" si="18"/>
        <v>0</v>
      </c>
      <c r="BE22" s="25">
        <v>0</v>
      </c>
      <c r="BF22" s="25">
        <f>22</f>
        <v>22</v>
      </c>
      <c r="BH22" s="25">
        <f t="shared" si="19"/>
        <v>0</v>
      </c>
      <c r="BI22" s="25">
        <f t="shared" si="20"/>
        <v>0</v>
      </c>
      <c r="BJ22" s="25">
        <f t="shared" si="21"/>
        <v>0</v>
      </c>
      <c r="BK22" s="27" t="s">
        <v>75</v>
      </c>
      <c r="BL22" s="25">
        <v>31</v>
      </c>
      <c r="BW22" s="25">
        <v>21</v>
      </c>
      <c r="BX22" s="5" t="s">
        <v>87</v>
      </c>
    </row>
    <row r="23" spans="1:76" x14ac:dyDescent="0.25">
      <c r="A23" s="28" t="s">
        <v>46</v>
      </c>
      <c r="B23" s="29" t="s">
        <v>88</v>
      </c>
      <c r="C23" s="150" t="s">
        <v>89</v>
      </c>
      <c r="D23" s="151"/>
      <c r="E23" s="30" t="s">
        <v>4</v>
      </c>
      <c r="F23" s="30" t="s">
        <v>4</v>
      </c>
      <c r="G23" s="30" t="s">
        <v>4</v>
      </c>
      <c r="H23" s="1">
        <f>ROUND(SUM(H24:H57),1)</f>
        <v>0</v>
      </c>
      <c r="I23" s="1">
        <f>ROUND(SUM(I24:I57),1)</f>
        <v>0</v>
      </c>
      <c r="J23" s="1">
        <f>ROUND(SUM(J24:J57),1)</f>
        <v>0</v>
      </c>
      <c r="K23" s="31" t="s">
        <v>46</v>
      </c>
      <c r="AI23" s="11" t="s">
        <v>46</v>
      </c>
      <c r="AS23" s="1">
        <f>SUM(AJ24:AJ57)</f>
        <v>0</v>
      </c>
      <c r="AT23" s="1">
        <f>SUM(AK24:AK57)</f>
        <v>0</v>
      </c>
      <c r="AU23" s="1">
        <f>SUM(AL24:AL57)</f>
        <v>0</v>
      </c>
    </row>
    <row r="24" spans="1:76" x14ac:dyDescent="0.25">
      <c r="A24" s="2" t="s">
        <v>90</v>
      </c>
      <c r="B24" s="3" t="s">
        <v>91</v>
      </c>
      <c r="C24" s="93" t="s">
        <v>92</v>
      </c>
      <c r="D24" s="94"/>
      <c r="E24" s="3" t="s">
        <v>93</v>
      </c>
      <c r="F24" s="25">
        <v>72.832999999999998</v>
      </c>
      <c r="G24" s="25">
        <v>0</v>
      </c>
      <c r="H24" s="25">
        <f t="shared" ref="H24:H57" si="22">ROUND(F24*AO24,2)</f>
        <v>0</v>
      </c>
      <c r="I24" s="25">
        <f t="shared" ref="I24:I57" si="23">ROUND(F24*AP24,2)</f>
        <v>0</v>
      </c>
      <c r="J24" s="25">
        <f t="shared" ref="J24:J57" si="24">ROUND(F24*G24,1)</f>
        <v>0</v>
      </c>
      <c r="K24" s="26" t="s">
        <v>53</v>
      </c>
      <c r="Z24" s="25">
        <f t="shared" ref="Z24:Z57" si="25">ROUND(IF(AQ24="5",BJ24,0),2)</f>
        <v>0</v>
      </c>
      <c r="AB24" s="25">
        <f t="shared" ref="AB24:AB57" si="26">ROUND(IF(AQ24="1",BH24,0),2)</f>
        <v>0</v>
      </c>
      <c r="AC24" s="25">
        <f t="shared" ref="AC24:AC57" si="27">ROUND(IF(AQ24="1",BI24,0),2)</f>
        <v>0</v>
      </c>
      <c r="AD24" s="25">
        <f t="shared" ref="AD24:AD57" si="28">ROUND(IF(AQ24="7",BH24,0),2)</f>
        <v>0</v>
      </c>
      <c r="AE24" s="25">
        <f t="shared" ref="AE24:AE57" si="29">ROUND(IF(AQ24="7",BI24,0),2)</f>
        <v>0</v>
      </c>
      <c r="AF24" s="25">
        <f t="shared" ref="AF24:AF57" si="30">ROUND(IF(AQ24="2",BH24,0),2)</f>
        <v>0</v>
      </c>
      <c r="AG24" s="25">
        <f t="shared" ref="AG24:AG57" si="31">ROUND(IF(AQ24="2",BI24,0),2)</f>
        <v>0</v>
      </c>
      <c r="AH24" s="25">
        <f t="shared" ref="AH24:AH57" si="32">ROUND(IF(AQ24="0",BJ24,0),2)</f>
        <v>0</v>
      </c>
      <c r="AI24" s="11" t="s">
        <v>46</v>
      </c>
      <c r="AJ24" s="25">
        <f t="shared" ref="AJ24:AJ57" si="33">IF(AN24=0,J24,0)</f>
        <v>0</v>
      </c>
      <c r="AK24" s="25">
        <f t="shared" ref="AK24:AK57" si="34">IF(AN24=12,J24,0)</f>
        <v>0</v>
      </c>
      <c r="AL24" s="25">
        <f t="shared" ref="AL24:AL57" si="35">IF(AN24=21,J24,0)</f>
        <v>0</v>
      </c>
      <c r="AN24" s="25">
        <v>21</v>
      </c>
      <c r="AO24" s="25">
        <f>G24*0.417133926</f>
        <v>0</v>
      </c>
      <c r="AP24" s="25">
        <f>G24*(1-0.417133926)</f>
        <v>0</v>
      </c>
      <c r="AQ24" s="27" t="s">
        <v>49</v>
      </c>
      <c r="AV24" s="25">
        <f t="shared" ref="AV24:AV57" si="36">ROUND(AW24+AX24,2)</f>
        <v>0</v>
      </c>
      <c r="AW24" s="25">
        <f t="shared" ref="AW24:AW57" si="37">ROUND(F24*AO24,2)</f>
        <v>0</v>
      </c>
      <c r="AX24" s="25">
        <f t="shared" ref="AX24:AX57" si="38">ROUND(F24*AP24,2)</f>
        <v>0</v>
      </c>
      <c r="AY24" s="27" t="s">
        <v>94</v>
      </c>
      <c r="AZ24" s="27" t="s">
        <v>55</v>
      </c>
      <c r="BA24" s="11" t="s">
        <v>56</v>
      </c>
      <c r="BC24" s="25">
        <f t="shared" ref="BC24:BC57" si="39">AW24+AX24</f>
        <v>0</v>
      </c>
      <c r="BD24" s="25">
        <f t="shared" ref="BD24:BD57" si="40">G24/(100-BE24)*100</f>
        <v>0</v>
      </c>
      <c r="BE24" s="25">
        <v>0</v>
      </c>
      <c r="BF24" s="25">
        <f>24</f>
        <v>24</v>
      </c>
      <c r="BH24" s="25">
        <f t="shared" ref="BH24:BH57" si="41">F24*AO24</f>
        <v>0</v>
      </c>
      <c r="BI24" s="25">
        <f t="shared" ref="BI24:BI57" si="42">F24*AP24</f>
        <v>0</v>
      </c>
      <c r="BJ24" s="25">
        <f t="shared" ref="BJ24:BJ57" si="43">F24*G24</f>
        <v>0</v>
      </c>
      <c r="BK24" s="27" t="s">
        <v>57</v>
      </c>
      <c r="BL24" s="25">
        <v>34</v>
      </c>
      <c r="BW24" s="25">
        <v>21</v>
      </c>
      <c r="BX24" s="5" t="s">
        <v>92</v>
      </c>
    </row>
    <row r="25" spans="1:76" x14ac:dyDescent="0.25">
      <c r="A25" s="2" t="s">
        <v>95</v>
      </c>
      <c r="B25" s="3" t="s">
        <v>96</v>
      </c>
      <c r="C25" s="93" t="s">
        <v>97</v>
      </c>
      <c r="D25" s="94"/>
      <c r="E25" s="3" t="s">
        <v>93</v>
      </c>
      <c r="F25" s="25">
        <v>6.4809999999999999</v>
      </c>
      <c r="G25" s="25">
        <v>0</v>
      </c>
      <c r="H25" s="25">
        <f t="shared" si="22"/>
        <v>0</v>
      </c>
      <c r="I25" s="25">
        <f t="shared" si="23"/>
        <v>0</v>
      </c>
      <c r="J25" s="25">
        <f t="shared" si="24"/>
        <v>0</v>
      </c>
      <c r="K25" s="26" t="s">
        <v>53</v>
      </c>
      <c r="Z25" s="25">
        <f t="shared" si="25"/>
        <v>0</v>
      </c>
      <c r="AB25" s="25">
        <f t="shared" si="26"/>
        <v>0</v>
      </c>
      <c r="AC25" s="25">
        <f t="shared" si="27"/>
        <v>0</v>
      </c>
      <c r="AD25" s="25">
        <f t="shared" si="28"/>
        <v>0</v>
      </c>
      <c r="AE25" s="25">
        <f t="shared" si="29"/>
        <v>0</v>
      </c>
      <c r="AF25" s="25">
        <f t="shared" si="30"/>
        <v>0</v>
      </c>
      <c r="AG25" s="25">
        <f t="shared" si="31"/>
        <v>0</v>
      </c>
      <c r="AH25" s="25">
        <f t="shared" si="32"/>
        <v>0</v>
      </c>
      <c r="AI25" s="11" t="s">
        <v>46</v>
      </c>
      <c r="AJ25" s="25">
        <f t="shared" si="33"/>
        <v>0</v>
      </c>
      <c r="AK25" s="25">
        <f t="shared" si="34"/>
        <v>0</v>
      </c>
      <c r="AL25" s="25">
        <f t="shared" si="35"/>
        <v>0</v>
      </c>
      <c r="AN25" s="25">
        <v>21</v>
      </c>
      <c r="AO25" s="25">
        <f>G25*0.42852009</f>
        <v>0</v>
      </c>
      <c r="AP25" s="25">
        <f>G25*(1-0.42852009)</f>
        <v>0</v>
      </c>
      <c r="AQ25" s="27" t="s">
        <v>49</v>
      </c>
      <c r="AV25" s="25">
        <f t="shared" si="36"/>
        <v>0</v>
      </c>
      <c r="AW25" s="25">
        <f t="shared" si="37"/>
        <v>0</v>
      </c>
      <c r="AX25" s="25">
        <f t="shared" si="38"/>
        <v>0</v>
      </c>
      <c r="AY25" s="27" t="s">
        <v>94</v>
      </c>
      <c r="AZ25" s="27" t="s">
        <v>55</v>
      </c>
      <c r="BA25" s="11" t="s">
        <v>56</v>
      </c>
      <c r="BC25" s="25">
        <f t="shared" si="39"/>
        <v>0</v>
      </c>
      <c r="BD25" s="25">
        <f t="shared" si="40"/>
        <v>0</v>
      </c>
      <c r="BE25" s="25">
        <v>0</v>
      </c>
      <c r="BF25" s="25">
        <f>25</f>
        <v>25</v>
      </c>
      <c r="BH25" s="25">
        <f t="shared" si="41"/>
        <v>0</v>
      </c>
      <c r="BI25" s="25">
        <f t="shared" si="42"/>
        <v>0</v>
      </c>
      <c r="BJ25" s="25">
        <f t="shared" si="43"/>
        <v>0</v>
      </c>
      <c r="BK25" s="27" t="s">
        <v>57</v>
      </c>
      <c r="BL25" s="25">
        <v>34</v>
      </c>
      <c r="BW25" s="25">
        <v>21</v>
      </c>
      <c r="BX25" s="5" t="s">
        <v>97</v>
      </c>
    </row>
    <row r="26" spans="1:76" x14ac:dyDescent="0.25">
      <c r="A26" s="2" t="s">
        <v>98</v>
      </c>
      <c r="B26" s="3" t="s">
        <v>99</v>
      </c>
      <c r="C26" s="93" t="s">
        <v>100</v>
      </c>
      <c r="D26" s="94"/>
      <c r="E26" s="3" t="s">
        <v>93</v>
      </c>
      <c r="F26" s="25">
        <v>10.117000000000001</v>
      </c>
      <c r="G26" s="25">
        <v>0</v>
      </c>
      <c r="H26" s="25">
        <f t="shared" si="22"/>
        <v>0</v>
      </c>
      <c r="I26" s="25">
        <f t="shared" si="23"/>
        <v>0</v>
      </c>
      <c r="J26" s="25">
        <f t="shared" si="24"/>
        <v>0</v>
      </c>
      <c r="K26" s="26" t="s">
        <v>53</v>
      </c>
      <c r="Z26" s="25">
        <f t="shared" si="25"/>
        <v>0</v>
      </c>
      <c r="AB26" s="25">
        <f t="shared" si="26"/>
        <v>0</v>
      </c>
      <c r="AC26" s="25">
        <f t="shared" si="27"/>
        <v>0</v>
      </c>
      <c r="AD26" s="25">
        <f t="shared" si="28"/>
        <v>0</v>
      </c>
      <c r="AE26" s="25">
        <f t="shared" si="29"/>
        <v>0</v>
      </c>
      <c r="AF26" s="25">
        <f t="shared" si="30"/>
        <v>0</v>
      </c>
      <c r="AG26" s="25">
        <f t="shared" si="31"/>
        <v>0</v>
      </c>
      <c r="AH26" s="25">
        <f t="shared" si="32"/>
        <v>0</v>
      </c>
      <c r="AI26" s="11" t="s">
        <v>46</v>
      </c>
      <c r="AJ26" s="25">
        <f t="shared" si="33"/>
        <v>0</v>
      </c>
      <c r="AK26" s="25">
        <f t="shared" si="34"/>
        <v>0</v>
      </c>
      <c r="AL26" s="25">
        <f t="shared" si="35"/>
        <v>0</v>
      </c>
      <c r="AN26" s="25">
        <v>21</v>
      </c>
      <c r="AO26" s="25">
        <f>G26*0.564903197</f>
        <v>0</v>
      </c>
      <c r="AP26" s="25">
        <f>G26*(1-0.564903197)</f>
        <v>0</v>
      </c>
      <c r="AQ26" s="27" t="s">
        <v>49</v>
      </c>
      <c r="AV26" s="25">
        <f t="shared" si="36"/>
        <v>0</v>
      </c>
      <c r="AW26" s="25">
        <f t="shared" si="37"/>
        <v>0</v>
      </c>
      <c r="AX26" s="25">
        <f t="shared" si="38"/>
        <v>0</v>
      </c>
      <c r="AY26" s="27" t="s">
        <v>94</v>
      </c>
      <c r="AZ26" s="27" t="s">
        <v>55</v>
      </c>
      <c r="BA26" s="11" t="s">
        <v>56</v>
      </c>
      <c r="BC26" s="25">
        <f t="shared" si="39"/>
        <v>0</v>
      </c>
      <c r="BD26" s="25">
        <f t="shared" si="40"/>
        <v>0</v>
      </c>
      <c r="BE26" s="25">
        <v>0</v>
      </c>
      <c r="BF26" s="25">
        <f>26</f>
        <v>26</v>
      </c>
      <c r="BH26" s="25">
        <f t="shared" si="41"/>
        <v>0</v>
      </c>
      <c r="BI26" s="25">
        <f t="shared" si="42"/>
        <v>0</v>
      </c>
      <c r="BJ26" s="25">
        <f t="shared" si="43"/>
        <v>0</v>
      </c>
      <c r="BK26" s="27" t="s">
        <v>57</v>
      </c>
      <c r="BL26" s="25">
        <v>34</v>
      </c>
      <c r="BW26" s="25">
        <v>21</v>
      </c>
      <c r="BX26" s="5" t="s">
        <v>100</v>
      </c>
    </row>
    <row r="27" spans="1:76" x14ac:dyDescent="0.25">
      <c r="A27" s="2" t="s">
        <v>101</v>
      </c>
      <c r="B27" s="3" t="s">
        <v>102</v>
      </c>
      <c r="C27" s="93" t="s">
        <v>103</v>
      </c>
      <c r="D27" s="94"/>
      <c r="E27" s="3" t="s">
        <v>93</v>
      </c>
      <c r="F27" s="25">
        <v>1.4390000000000001</v>
      </c>
      <c r="G27" s="25">
        <v>0</v>
      </c>
      <c r="H27" s="25">
        <f t="shared" si="22"/>
        <v>0</v>
      </c>
      <c r="I27" s="25">
        <f t="shared" si="23"/>
        <v>0</v>
      </c>
      <c r="J27" s="25">
        <f t="shared" si="24"/>
        <v>0</v>
      </c>
      <c r="K27" s="26" t="s">
        <v>53</v>
      </c>
      <c r="Z27" s="25">
        <f t="shared" si="25"/>
        <v>0</v>
      </c>
      <c r="AB27" s="25">
        <f t="shared" si="26"/>
        <v>0</v>
      </c>
      <c r="AC27" s="25">
        <f t="shared" si="27"/>
        <v>0</v>
      </c>
      <c r="AD27" s="25">
        <f t="shared" si="28"/>
        <v>0</v>
      </c>
      <c r="AE27" s="25">
        <f t="shared" si="29"/>
        <v>0</v>
      </c>
      <c r="AF27" s="25">
        <f t="shared" si="30"/>
        <v>0</v>
      </c>
      <c r="AG27" s="25">
        <f t="shared" si="31"/>
        <v>0</v>
      </c>
      <c r="AH27" s="25">
        <f t="shared" si="32"/>
        <v>0</v>
      </c>
      <c r="AI27" s="11" t="s">
        <v>46</v>
      </c>
      <c r="AJ27" s="25">
        <f t="shared" si="33"/>
        <v>0</v>
      </c>
      <c r="AK27" s="25">
        <f t="shared" si="34"/>
        <v>0</v>
      </c>
      <c r="AL27" s="25">
        <f t="shared" si="35"/>
        <v>0</v>
      </c>
      <c r="AN27" s="25">
        <v>21</v>
      </c>
      <c r="AO27" s="25">
        <f>G27*0.546515089</f>
        <v>0</v>
      </c>
      <c r="AP27" s="25">
        <f>G27*(1-0.546515089)</f>
        <v>0</v>
      </c>
      <c r="AQ27" s="27" t="s">
        <v>49</v>
      </c>
      <c r="AV27" s="25">
        <f t="shared" si="36"/>
        <v>0</v>
      </c>
      <c r="AW27" s="25">
        <f t="shared" si="37"/>
        <v>0</v>
      </c>
      <c r="AX27" s="25">
        <f t="shared" si="38"/>
        <v>0</v>
      </c>
      <c r="AY27" s="27" t="s">
        <v>94</v>
      </c>
      <c r="AZ27" s="27" t="s">
        <v>55</v>
      </c>
      <c r="BA27" s="11" t="s">
        <v>56</v>
      </c>
      <c r="BC27" s="25">
        <f t="shared" si="39"/>
        <v>0</v>
      </c>
      <c r="BD27" s="25">
        <f t="shared" si="40"/>
        <v>0</v>
      </c>
      <c r="BE27" s="25">
        <v>0</v>
      </c>
      <c r="BF27" s="25">
        <f>27</f>
        <v>27</v>
      </c>
      <c r="BH27" s="25">
        <f t="shared" si="41"/>
        <v>0</v>
      </c>
      <c r="BI27" s="25">
        <f t="shared" si="42"/>
        <v>0</v>
      </c>
      <c r="BJ27" s="25">
        <f t="shared" si="43"/>
        <v>0</v>
      </c>
      <c r="BK27" s="27" t="s">
        <v>57</v>
      </c>
      <c r="BL27" s="25">
        <v>34</v>
      </c>
      <c r="BW27" s="25">
        <v>21</v>
      </c>
      <c r="BX27" s="5" t="s">
        <v>103</v>
      </c>
    </row>
    <row r="28" spans="1:76" x14ac:dyDescent="0.25">
      <c r="A28" s="2" t="s">
        <v>104</v>
      </c>
      <c r="B28" s="3" t="s">
        <v>105</v>
      </c>
      <c r="C28" s="93" t="s">
        <v>106</v>
      </c>
      <c r="D28" s="94"/>
      <c r="E28" s="3" t="s">
        <v>93</v>
      </c>
      <c r="F28" s="25">
        <v>33.933999999999997</v>
      </c>
      <c r="G28" s="25">
        <v>0</v>
      </c>
      <c r="H28" s="25">
        <f t="shared" si="22"/>
        <v>0</v>
      </c>
      <c r="I28" s="25">
        <f t="shared" si="23"/>
        <v>0</v>
      </c>
      <c r="J28" s="25">
        <f t="shared" si="24"/>
        <v>0</v>
      </c>
      <c r="K28" s="26" t="s">
        <v>53</v>
      </c>
      <c r="Z28" s="25">
        <f t="shared" si="25"/>
        <v>0</v>
      </c>
      <c r="AB28" s="25">
        <f t="shared" si="26"/>
        <v>0</v>
      </c>
      <c r="AC28" s="25">
        <f t="shared" si="27"/>
        <v>0</v>
      </c>
      <c r="AD28" s="25">
        <f t="shared" si="28"/>
        <v>0</v>
      </c>
      <c r="AE28" s="25">
        <f t="shared" si="29"/>
        <v>0</v>
      </c>
      <c r="AF28" s="25">
        <f t="shared" si="30"/>
        <v>0</v>
      </c>
      <c r="AG28" s="25">
        <f t="shared" si="31"/>
        <v>0</v>
      </c>
      <c r="AH28" s="25">
        <f t="shared" si="32"/>
        <v>0</v>
      </c>
      <c r="AI28" s="11" t="s">
        <v>46</v>
      </c>
      <c r="AJ28" s="25">
        <f t="shared" si="33"/>
        <v>0</v>
      </c>
      <c r="AK28" s="25">
        <f t="shared" si="34"/>
        <v>0</v>
      </c>
      <c r="AL28" s="25">
        <f t="shared" si="35"/>
        <v>0</v>
      </c>
      <c r="AN28" s="25">
        <v>21</v>
      </c>
      <c r="AO28" s="25">
        <f>G28*0.468085056</f>
        <v>0</v>
      </c>
      <c r="AP28" s="25">
        <f>G28*(1-0.468085056)</f>
        <v>0</v>
      </c>
      <c r="AQ28" s="27" t="s">
        <v>49</v>
      </c>
      <c r="AV28" s="25">
        <f t="shared" si="36"/>
        <v>0</v>
      </c>
      <c r="AW28" s="25">
        <f t="shared" si="37"/>
        <v>0</v>
      </c>
      <c r="AX28" s="25">
        <f t="shared" si="38"/>
        <v>0</v>
      </c>
      <c r="AY28" s="27" t="s">
        <v>94</v>
      </c>
      <c r="AZ28" s="27" t="s">
        <v>55</v>
      </c>
      <c r="BA28" s="11" t="s">
        <v>56</v>
      </c>
      <c r="BC28" s="25">
        <f t="shared" si="39"/>
        <v>0</v>
      </c>
      <c r="BD28" s="25">
        <f t="shared" si="40"/>
        <v>0</v>
      </c>
      <c r="BE28" s="25">
        <v>0</v>
      </c>
      <c r="BF28" s="25">
        <f>28</f>
        <v>28</v>
      </c>
      <c r="BH28" s="25">
        <f t="shared" si="41"/>
        <v>0</v>
      </c>
      <c r="BI28" s="25">
        <f t="shared" si="42"/>
        <v>0</v>
      </c>
      <c r="BJ28" s="25">
        <f t="shared" si="43"/>
        <v>0</v>
      </c>
      <c r="BK28" s="27" t="s">
        <v>57</v>
      </c>
      <c r="BL28" s="25">
        <v>34</v>
      </c>
      <c r="BW28" s="25">
        <v>21</v>
      </c>
      <c r="BX28" s="5" t="s">
        <v>106</v>
      </c>
    </row>
    <row r="29" spans="1:76" x14ac:dyDescent="0.25">
      <c r="A29" s="2" t="s">
        <v>107</v>
      </c>
      <c r="B29" s="3" t="s">
        <v>108</v>
      </c>
      <c r="C29" s="93" t="s">
        <v>109</v>
      </c>
      <c r="D29" s="94"/>
      <c r="E29" s="3" t="s">
        <v>93</v>
      </c>
      <c r="F29" s="25">
        <v>85.915999999999997</v>
      </c>
      <c r="G29" s="25">
        <v>0</v>
      </c>
      <c r="H29" s="25">
        <f t="shared" si="22"/>
        <v>0</v>
      </c>
      <c r="I29" s="25">
        <f t="shared" si="23"/>
        <v>0</v>
      </c>
      <c r="J29" s="25">
        <f t="shared" si="24"/>
        <v>0</v>
      </c>
      <c r="K29" s="26" t="s">
        <v>53</v>
      </c>
      <c r="Z29" s="25">
        <f t="shared" si="25"/>
        <v>0</v>
      </c>
      <c r="AB29" s="25">
        <f t="shared" si="26"/>
        <v>0</v>
      </c>
      <c r="AC29" s="25">
        <f t="shared" si="27"/>
        <v>0</v>
      </c>
      <c r="AD29" s="25">
        <f t="shared" si="28"/>
        <v>0</v>
      </c>
      <c r="AE29" s="25">
        <f t="shared" si="29"/>
        <v>0</v>
      </c>
      <c r="AF29" s="25">
        <f t="shared" si="30"/>
        <v>0</v>
      </c>
      <c r="AG29" s="25">
        <f t="shared" si="31"/>
        <v>0</v>
      </c>
      <c r="AH29" s="25">
        <f t="shared" si="32"/>
        <v>0</v>
      </c>
      <c r="AI29" s="11" t="s">
        <v>46</v>
      </c>
      <c r="AJ29" s="25">
        <f t="shared" si="33"/>
        <v>0</v>
      </c>
      <c r="AK29" s="25">
        <f t="shared" si="34"/>
        <v>0</v>
      </c>
      <c r="AL29" s="25">
        <f t="shared" si="35"/>
        <v>0</v>
      </c>
      <c r="AN29" s="25">
        <v>21</v>
      </c>
      <c r="AO29" s="25">
        <f>G29*0.475421623</f>
        <v>0</v>
      </c>
      <c r="AP29" s="25">
        <f>G29*(1-0.475421623)</f>
        <v>0</v>
      </c>
      <c r="AQ29" s="27" t="s">
        <v>49</v>
      </c>
      <c r="AV29" s="25">
        <f t="shared" si="36"/>
        <v>0</v>
      </c>
      <c r="AW29" s="25">
        <f t="shared" si="37"/>
        <v>0</v>
      </c>
      <c r="AX29" s="25">
        <f t="shared" si="38"/>
        <v>0</v>
      </c>
      <c r="AY29" s="27" t="s">
        <v>94</v>
      </c>
      <c r="AZ29" s="27" t="s">
        <v>55</v>
      </c>
      <c r="BA29" s="11" t="s">
        <v>56</v>
      </c>
      <c r="BC29" s="25">
        <f t="shared" si="39"/>
        <v>0</v>
      </c>
      <c r="BD29" s="25">
        <f t="shared" si="40"/>
        <v>0</v>
      </c>
      <c r="BE29" s="25">
        <v>0</v>
      </c>
      <c r="BF29" s="25">
        <f>29</f>
        <v>29</v>
      </c>
      <c r="BH29" s="25">
        <f t="shared" si="41"/>
        <v>0</v>
      </c>
      <c r="BI29" s="25">
        <f t="shared" si="42"/>
        <v>0</v>
      </c>
      <c r="BJ29" s="25">
        <f t="shared" si="43"/>
        <v>0</v>
      </c>
      <c r="BK29" s="27" t="s">
        <v>57</v>
      </c>
      <c r="BL29" s="25">
        <v>34</v>
      </c>
      <c r="BW29" s="25">
        <v>21</v>
      </c>
      <c r="BX29" s="5" t="s">
        <v>109</v>
      </c>
    </row>
    <row r="30" spans="1:76" x14ac:dyDescent="0.25">
      <c r="A30" s="2" t="s">
        <v>110</v>
      </c>
      <c r="B30" s="3" t="s">
        <v>111</v>
      </c>
      <c r="C30" s="93" t="s">
        <v>112</v>
      </c>
      <c r="D30" s="94"/>
      <c r="E30" s="3" t="s">
        <v>93</v>
      </c>
      <c r="F30" s="25">
        <v>39.847999999999999</v>
      </c>
      <c r="G30" s="25">
        <v>0</v>
      </c>
      <c r="H30" s="25">
        <f t="shared" si="22"/>
        <v>0</v>
      </c>
      <c r="I30" s="25">
        <f t="shared" si="23"/>
        <v>0</v>
      </c>
      <c r="J30" s="25">
        <f t="shared" si="24"/>
        <v>0</v>
      </c>
      <c r="K30" s="26" t="s">
        <v>53</v>
      </c>
      <c r="Z30" s="25">
        <f t="shared" si="25"/>
        <v>0</v>
      </c>
      <c r="AB30" s="25">
        <f t="shared" si="26"/>
        <v>0</v>
      </c>
      <c r="AC30" s="25">
        <f t="shared" si="27"/>
        <v>0</v>
      </c>
      <c r="AD30" s="25">
        <f t="shared" si="28"/>
        <v>0</v>
      </c>
      <c r="AE30" s="25">
        <f t="shared" si="29"/>
        <v>0</v>
      </c>
      <c r="AF30" s="25">
        <f t="shared" si="30"/>
        <v>0</v>
      </c>
      <c r="AG30" s="25">
        <f t="shared" si="31"/>
        <v>0</v>
      </c>
      <c r="AH30" s="25">
        <f t="shared" si="32"/>
        <v>0</v>
      </c>
      <c r="AI30" s="11" t="s">
        <v>46</v>
      </c>
      <c r="AJ30" s="25">
        <f t="shared" si="33"/>
        <v>0</v>
      </c>
      <c r="AK30" s="25">
        <f t="shared" si="34"/>
        <v>0</v>
      </c>
      <c r="AL30" s="25">
        <f t="shared" si="35"/>
        <v>0</v>
      </c>
      <c r="AN30" s="25">
        <v>21</v>
      </c>
      <c r="AO30" s="25">
        <f>G30*0.622597264</f>
        <v>0</v>
      </c>
      <c r="AP30" s="25">
        <f>G30*(1-0.622597264)</f>
        <v>0</v>
      </c>
      <c r="AQ30" s="27" t="s">
        <v>49</v>
      </c>
      <c r="AV30" s="25">
        <f t="shared" si="36"/>
        <v>0</v>
      </c>
      <c r="AW30" s="25">
        <f t="shared" si="37"/>
        <v>0</v>
      </c>
      <c r="AX30" s="25">
        <f t="shared" si="38"/>
        <v>0</v>
      </c>
      <c r="AY30" s="27" t="s">
        <v>94</v>
      </c>
      <c r="AZ30" s="27" t="s">
        <v>55</v>
      </c>
      <c r="BA30" s="11" t="s">
        <v>56</v>
      </c>
      <c r="BC30" s="25">
        <f t="shared" si="39"/>
        <v>0</v>
      </c>
      <c r="BD30" s="25">
        <f t="shared" si="40"/>
        <v>0</v>
      </c>
      <c r="BE30" s="25">
        <v>0</v>
      </c>
      <c r="BF30" s="25">
        <f>30</f>
        <v>30</v>
      </c>
      <c r="BH30" s="25">
        <f t="shared" si="41"/>
        <v>0</v>
      </c>
      <c r="BI30" s="25">
        <f t="shared" si="42"/>
        <v>0</v>
      </c>
      <c r="BJ30" s="25">
        <f t="shared" si="43"/>
        <v>0</v>
      </c>
      <c r="BK30" s="27" t="s">
        <v>57</v>
      </c>
      <c r="BL30" s="25">
        <v>34</v>
      </c>
      <c r="BW30" s="25">
        <v>21</v>
      </c>
      <c r="BX30" s="5" t="s">
        <v>112</v>
      </c>
    </row>
    <row r="31" spans="1:76" ht="25.5" x14ac:dyDescent="0.25">
      <c r="A31" s="2" t="s">
        <v>113</v>
      </c>
      <c r="B31" s="3" t="s">
        <v>114</v>
      </c>
      <c r="C31" s="93" t="s">
        <v>115</v>
      </c>
      <c r="D31" s="94"/>
      <c r="E31" s="3" t="s">
        <v>93</v>
      </c>
      <c r="F31" s="25">
        <v>8.1229999999999993</v>
      </c>
      <c r="G31" s="25">
        <v>0</v>
      </c>
      <c r="H31" s="25">
        <f t="shared" si="22"/>
        <v>0</v>
      </c>
      <c r="I31" s="25">
        <f t="shared" si="23"/>
        <v>0</v>
      </c>
      <c r="J31" s="25">
        <f t="shared" si="24"/>
        <v>0</v>
      </c>
      <c r="K31" s="26" t="s">
        <v>53</v>
      </c>
      <c r="Z31" s="25">
        <f t="shared" si="25"/>
        <v>0</v>
      </c>
      <c r="AB31" s="25">
        <f t="shared" si="26"/>
        <v>0</v>
      </c>
      <c r="AC31" s="25">
        <f t="shared" si="27"/>
        <v>0</v>
      </c>
      <c r="AD31" s="25">
        <f t="shared" si="28"/>
        <v>0</v>
      </c>
      <c r="AE31" s="25">
        <f t="shared" si="29"/>
        <v>0</v>
      </c>
      <c r="AF31" s="25">
        <f t="shared" si="30"/>
        <v>0</v>
      </c>
      <c r="AG31" s="25">
        <f t="shared" si="31"/>
        <v>0</v>
      </c>
      <c r="AH31" s="25">
        <f t="shared" si="32"/>
        <v>0</v>
      </c>
      <c r="AI31" s="11" t="s">
        <v>46</v>
      </c>
      <c r="AJ31" s="25">
        <f t="shared" si="33"/>
        <v>0</v>
      </c>
      <c r="AK31" s="25">
        <f t="shared" si="34"/>
        <v>0</v>
      </c>
      <c r="AL31" s="25">
        <f t="shared" si="35"/>
        <v>0</v>
      </c>
      <c r="AN31" s="25">
        <v>21</v>
      </c>
      <c r="AO31" s="25">
        <f>G31*0.529837547</f>
        <v>0</v>
      </c>
      <c r="AP31" s="25">
        <f>G31*(1-0.529837547)</f>
        <v>0</v>
      </c>
      <c r="AQ31" s="27" t="s">
        <v>49</v>
      </c>
      <c r="AV31" s="25">
        <f t="shared" si="36"/>
        <v>0</v>
      </c>
      <c r="AW31" s="25">
        <f t="shared" si="37"/>
        <v>0</v>
      </c>
      <c r="AX31" s="25">
        <f t="shared" si="38"/>
        <v>0</v>
      </c>
      <c r="AY31" s="27" t="s">
        <v>94</v>
      </c>
      <c r="AZ31" s="27" t="s">
        <v>55</v>
      </c>
      <c r="BA31" s="11" t="s">
        <v>56</v>
      </c>
      <c r="BC31" s="25">
        <f t="shared" si="39"/>
        <v>0</v>
      </c>
      <c r="BD31" s="25">
        <f t="shared" si="40"/>
        <v>0</v>
      </c>
      <c r="BE31" s="25">
        <v>0</v>
      </c>
      <c r="BF31" s="25">
        <f>31</f>
        <v>31</v>
      </c>
      <c r="BH31" s="25">
        <f t="shared" si="41"/>
        <v>0</v>
      </c>
      <c r="BI31" s="25">
        <f t="shared" si="42"/>
        <v>0</v>
      </c>
      <c r="BJ31" s="25">
        <f t="shared" si="43"/>
        <v>0</v>
      </c>
      <c r="BK31" s="27" t="s">
        <v>57</v>
      </c>
      <c r="BL31" s="25">
        <v>34</v>
      </c>
      <c r="BW31" s="25">
        <v>21</v>
      </c>
      <c r="BX31" s="5" t="s">
        <v>115</v>
      </c>
    </row>
    <row r="32" spans="1:76" ht="25.5" x14ac:dyDescent="0.25">
      <c r="A32" s="2" t="s">
        <v>116</v>
      </c>
      <c r="B32" s="3" t="s">
        <v>117</v>
      </c>
      <c r="C32" s="93" t="s">
        <v>118</v>
      </c>
      <c r="D32" s="94"/>
      <c r="E32" s="3" t="s">
        <v>93</v>
      </c>
      <c r="F32" s="25">
        <v>4.9240000000000004</v>
      </c>
      <c r="G32" s="25">
        <v>0</v>
      </c>
      <c r="H32" s="25">
        <f t="shared" si="22"/>
        <v>0</v>
      </c>
      <c r="I32" s="25">
        <f t="shared" si="23"/>
        <v>0</v>
      </c>
      <c r="J32" s="25">
        <f t="shared" si="24"/>
        <v>0</v>
      </c>
      <c r="K32" s="26" t="s">
        <v>53</v>
      </c>
      <c r="Z32" s="25">
        <f t="shared" si="25"/>
        <v>0</v>
      </c>
      <c r="AB32" s="25">
        <f t="shared" si="26"/>
        <v>0</v>
      </c>
      <c r="AC32" s="25">
        <f t="shared" si="27"/>
        <v>0</v>
      </c>
      <c r="AD32" s="25">
        <f t="shared" si="28"/>
        <v>0</v>
      </c>
      <c r="AE32" s="25">
        <f t="shared" si="29"/>
        <v>0</v>
      </c>
      <c r="AF32" s="25">
        <f t="shared" si="30"/>
        <v>0</v>
      </c>
      <c r="AG32" s="25">
        <f t="shared" si="31"/>
        <v>0</v>
      </c>
      <c r="AH32" s="25">
        <f t="shared" si="32"/>
        <v>0</v>
      </c>
      <c r="AI32" s="11" t="s">
        <v>46</v>
      </c>
      <c r="AJ32" s="25">
        <f t="shared" si="33"/>
        <v>0</v>
      </c>
      <c r="AK32" s="25">
        <f t="shared" si="34"/>
        <v>0</v>
      </c>
      <c r="AL32" s="25">
        <f t="shared" si="35"/>
        <v>0</v>
      </c>
      <c r="AN32" s="25">
        <v>21</v>
      </c>
      <c r="AO32" s="25">
        <f>G32*0.52983833</f>
        <v>0</v>
      </c>
      <c r="AP32" s="25">
        <f>G32*(1-0.52983833)</f>
        <v>0</v>
      </c>
      <c r="AQ32" s="27" t="s">
        <v>49</v>
      </c>
      <c r="AV32" s="25">
        <f t="shared" si="36"/>
        <v>0</v>
      </c>
      <c r="AW32" s="25">
        <f t="shared" si="37"/>
        <v>0</v>
      </c>
      <c r="AX32" s="25">
        <f t="shared" si="38"/>
        <v>0</v>
      </c>
      <c r="AY32" s="27" t="s">
        <v>94</v>
      </c>
      <c r="AZ32" s="27" t="s">
        <v>55</v>
      </c>
      <c r="BA32" s="11" t="s">
        <v>56</v>
      </c>
      <c r="BC32" s="25">
        <f t="shared" si="39"/>
        <v>0</v>
      </c>
      <c r="BD32" s="25">
        <f t="shared" si="40"/>
        <v>0</v>
      </c>
      <c r="BE32" s="25">
        <v>0</v>
      </c>
      <c r="BF32" s="25">
        <f>32</f>
        <v>32</v>
      </c>
      <c r="BH32" s="25">
        <f t="shared" si="41"/>
        <v>0</v>
      </c>
      <c r="BI32" s="25">
        <f t="shared" si="42"/>
        <v>0</v>
      </c>
      <c r="BJ32" s="25">
        <f t="shared" si="43"/>
        <v>0</v>
      </c>
      <c r="BK32" s="27" t="s">
        <v>57</v>
      </c>
      <c r="BL32" s="25">
        <v>34</v>
      </c>
      <c r="BW32" s="25">
        <v>21</v>
      </c>
      <c r="BX32" s="5" t="s">
        <v>118</v>
      </c>
    </row>
    <row r="33" spans="1:76" x14ac:dyDescent="0.25">
      <c r="A33" s="2" t="s">
        <v>119</v>
      </c>
      <c r="B33" s="3" t="s">
        <v>120</v>
      </c>
      <c r="C33" s="93" t="s">
        <v>121</v>
      </c>
      <c r="D33" s="94"/>
      <c r="E33" s="3" t="s">
        <v>52</v>
      </c>
      <c r="F33" s="25">
        <v>6</v>
      </c>
      <c r="G33" s="25">
        <v>0</v>
      </c>
      <c r="H33" s="25">
        <f t="shared" si="22"/>
        <v>0</v>
      </c>
      <c r="I33" s="25">
        <f t="shared" si="23"/>
        <v>0</v>
      </c>
      <c r="J33" s="25">
        <f t="shared" si="24"/>
        <v>0</v>
      </c>
      <c r="K33" s="26" t="s">
        <v>53</v>
      </c>
      <c r="Z33" s="25">
        <f t="shared" si="25"/>
        <v>0</v>
      </c>
      <c r="AB33" s="25">
        <f t="shared" si="26"/>
        <v>0</v>
      </c>
      <c r="AC33" s="25">
        <f t="shared" si="27"/>
        <v>0</v>
      </c>
      <c r="AD33" s="25">
        <f t="shared" si="28"/>
        <v>0</v>
      </c>
      <c r="AE33" s="25">
        <f t="shared" si="29"/>
        <v>0</v>
      </c>
      <c r="AF33" s="25">
        <f t="shared" si="30"/>
        <v>0</v>
      </c>
      <c r="AG33" s="25">
        <f t="shared" si="31"/>
        <v>0</v>
      </c>
      <c r="AH33" s="25">
        <f t="shared" si="32"/>
        <v>0</v>
      </c>
      <c r="AI33" s="11" t="s">
        <v>46</v>
      </c>
      <c r="AJ33" s="25">
        <f t="shared" si="33"/>
        <v>0</v>
      </c>
      <c r="AK33" s="25">
        <f t="shared" si="34"/>
        <v>0</v>
      </c>
      <c r="AL33" s="25">
        <f t="shared" si="35"/>
        <v>0</v>
      </c>
      <c r="AN33" s="25">
        <v>21</v>
      </c>
      <c r="AO33" s="25">
        <f t="shared" ref="AO33:AO38" si="44">G33*0</f>
        <v>0</v>
      </c>
      <c r="AP33" s="25">
        <f t="shared" ref="AP33:AP38" si="45">G33*(1-0)</f>
        <v>0</v>
      </c>
      <c r="AQ33" s="27" t="s">
        <v>49</v>
      </c>
      <c r="AV33" s="25">
        <f t="shared" si="36"/>
        <v>0</v>
      </c>
      <c r="AW33" s="25">
        <f t="shared" si="37"/>
        <v>0</v>
      </c>
      <c r="AX33" s="25">
        <f t="shared" si="38"/>
        <v>0</v>
      </c>
      <c r="AY33" s="27" t="s">
        <v>94</v>
      </c>
      <c r="AZ33" s="27" t="s">
        <v>55</v>
      </c>
      <c r="BA33" s="11" t="s">
        <v>56</v>
      </c>
      <c r="BC33" s="25">
        <f t="shared" si="39"/>
        <v>0</v>
      </c>
      <c r="BD33" s="25">
        <f t="shared" si="40"/>
        <v>0</v>
      </c>
      <c r="BE33" s="25">
        <v>0</v>
      </c>
      <c r="BF33" s="25">
        <f>33</f>
        <v>33</v>
      </c>
      <c r="BH33" s="25">
        <f t="shared" si="41"/>
        <v>0</v>
      </c>
      <c r="BI33" s="25">
        <f t="shared" si="42"/>
        <v>0</v>
      </c>
      <c r="BJ33" s="25">
        <f t="shared" si="43"/>
        <v>0</v>
      </c>
      <c r="BK33" s="27" t="s">
        <v>57</v>
      </c>
      <c r="BL33" s="25">
        <v>34</v>
      </c>
      <c r="BW33" s="25">
        <v>21</v>
      </c>
      <c r="BX33" s="5" t="s">
        <v>121</v>
      </c>
    </row>
    <row r="34" spans="1:76" x14ac:dyDescent="0.25">
      <c r="A34" s="2" t="s">
        <v>122</v>
      </c>
      <c r="B34" s="3" t="s">
        <v>123</v>
      </c>
      <c r="C34" s="93" t="s">
        <v>124</v>
      </c>
      <c r="D34" s="94"/>
      <c r="E34" s="3" t="s">
        <v>52</v>
      </c>
      <c r="F34" s="25">
        <v>4</v>
      </c>
      <c r="G34" s="25">
        <v>0</v>
      </c>
      <c r="H34" s="25">
        <f t="shared" si="22"/>
        <v>0</v>
      </c>
      <c r="I34" s="25">
        <f t="shared" si="23"/>
        <v>0</v>
      </c>
      <c r="J34" s="25">
        <f t="shared" si="24"/>
        <v>0</v>
      </c>
      <c r="K34" s="26" t="s">
        <v>53</v>
      </c>
      <c r="Z34" s="25">
        <f t="shared" si="25"/>
        <v>0</v>
      </c>
      <c r="AB34" s="25">
        <f t="shared" si="26"/>
        <v>0</v>
      </c>
      <c r="AC34" s="25">
        <f t="shared" si="27"/>
        <v>0</v>
      </c>
      <c r="AD34" s="25">
        <f t="shared" si="28"/>
        <v>0</v>
      </c>
      <c r="AE34" s="25">
        <f t="shared" si="29"/>
        <v>0</v>
      </c>
      <c r="AF34" s="25">
        <f t="shared" si="30"/>
        <v>0</v>
      </c>
      <c r="AG34" s="25">
        <f t="shared" si="31"/>
        <v>0</v>
      </c>
      <c r="AH34" s="25">
        <f t="shared" si="32"/>
        <v>0</v>
      </c>
      <c r="AI34" s="11" t="s">
        <v>46</v>
      </c>
      <c r="AJ34" s="25">
        <f t="shared" si="33"/>
        <v>0</v>
      </c>
      <c r="AK34" s="25">
        <f t="shared" si="34"/>
        <v>0</v>
      </c>
      <c r="AL34" s="25">
        <f t="shared" si="35"/>
        <v>0</v>
      </c>
      <c r="AN34" s="25">
        <v>21</v>
      </c>
      <c r="AO34" s="25">
        <f t="shared" si="44"/>
        <v>0</v>
      </c>
      <c r="AP34" s="25">
        <f t="shared" si="45"/>
        <v>0</v>
      </c>
      <c r="AQ34" s="27" t="s">
        <v>49</v>
      </c>
      <c r="AV34" s="25">
        <f t="shared" si="36"/>
        <v>0</v>
      </c>
      <c r="AW34" s="25">
        <f t="shared" si="37"/>
        <v>0</v>
      </c>
      <c r="AX34" s="25">
        <f t="shared" si="38"/>
        <v>0</v>
      </c>
      <c r="AY34" s="27" t="s">
        <v>94</v>
      </c>
      <c r="AZ34" s="27" t="s">
        <v>55</v>
      </c>
      <c r="BA34" s="11" t="s">
        <v>56</v>
      </c>
      <c r="BC34" s="25">
        <f t="shared" si="39"/>
        <v>0</v>
      </c>
      <c r="BD34" s="25">
        <f t="shared" si="40"/>
        <v>0</v>
      </c>
      <c r="BE34" s="25">
        <v>0</v>
      </c>
      <c r="BF34" s="25">
        <f>34</f>
        <v>34</v>
      </c>
      <c r="BH34" s="25">
        <f t="shared" si="41"/>
        <v>0</v>
      </c>
      <c r="BI34" s="25">
        <f t="shared" si="42"/>
        <v>0</v>
      </c>
      <c r="BJ34" s="25">
        <f t="shared" si="43"/>
        <v>0</v>
      </c>
      <c r="BK34" s="27" t="s">
        <v>57</v>
      </c>
      <c r="BL34" s="25">
        <v>34</v>
      </c>
      <c r="BW34" s="25">
        <v>21</v>
      </c>
      <c r="BX34" s="5" t="s">
        <v>124</v>
      </c>
    </row>
    <row r="35" spans="1:76" x14ac:dyDescent="0.25">
      <c r="A35" s="2" t="s">
        <v>125</v>
      </c>
      <c r="B35" s="3" t="s">
        <v>126</v>
      </c>
      <c r="C35" s="93" t="s">
        <v>127</v>
      </c>
      <c r="D35" s="94"/>
      <c r="E35" s="3" t="s">
        <v>52</v>
      </c>
      <c r="F35" s="25">
        <v>1</v>
      </c>
      <c r="G35" s="25">
        <v>0</v>
      </c>
      <c r="H35" s="25">
        <f t="shared" si="22"/>
        <v>0</v>
      </c>
      <c r="I35" s="25">
        <f t="shared" si="23"/>
        <v>0</v>
      </c>
      <c r="J35" s="25">
        <f t="shared" si="24"/>
        <v>0</v>
      </c>
      <c r="K35" s="26" t="s">
        <v>53</v>
      </c>
      <c r="Z35" s="25">
        <f t="shared" si="25"/>
        <v>0</v>
      </c>
      <c r="AB35" s="25">
        <f t="shared" si="26"/>
        <v>0</v>
      </c>
      <c r="AC35" s="25">
        <f t="shared" si="27"/>
        <v>0</v>
      </c>
      <c r="AD35" s="25">
        <f t="shared" si="28"/>
        <v>0</v>
      </c>
      <c r="AE35" s="25">
        <f t="shared" si="29"/>
        <v>0</v>
      </c>
      <c r="AF35" s="25">
        <f t="shared" si="30"/>
        <v>0</v>
      </c>
      <c r="AG35" s="25">
        <f t="shared" si="31"/>
        <v>0</v>
      </c>
      <c r="AH35" s="25">
        <f t="shared" si="32"/>
        <v>0</v>
      </c>
      <c r="AI35" s="11" t="s">
        <v>46</v>
      </c>
      <c r="AJ35" s="25">
        <f t="shared" si="33"/>
        <v>0</v>
      </c>
      <c r="AK35" s="25">
        <f t="shared" si="34"/>
        <v>0</v>
      </c>
      <c r="AL35" s="25">
        <f t="shared" si="35"/>
        <v>0</v>
      </c>
      <c r="AN35" s="25">
        <v>21</v>
      </c>
      <c r="AO35" s="25">
        <f t="shared" si="44"/>
        <v>0</v>
      </c>
      <c r="AP35" s="25">
        <f t="shared" si="45"/>
        <v>0</v>
      </c>
      <c r="AQ35" s="27" t="s">
        <v>49</v>
      </c>
      <c r="AV35" s="25">
        <f t="shared" si="36"/>
        <v>0</v>
      </c>
      <c r="AW35" s="25">
        <f t="shared" si="37"/>
        <v>0</v>
      </c>
      <c r="AX35" s="25">
        <f t="shared" si="38"/>
        <v>0</v>
      </c>
      <c r="AY35" s="27" t="s">
        <v>94</v>
      </c>
      <c r="AZ35" s="27" t="s">
        <v>55</v>
      </c>
      <c r="BA35" s="11" t="s">
        <v>56</v>
      </c>
      <c r="BC35" s="25">
        <f t="shared" si="39"/>
        <v>0</v>
      </c>
      <c r="BD35" s="25">
        <f t="shared" si="40"/>
        <v>0</v>
      </c>
      <c r="BE35" s="25">
        <v>0</v>
      </c>
      <c r="BF35" s="25">
        <f>35</f>
        <v>35</v>
      </c>
      <c r="BH35" s="25">
        <f t="shared" si="41"/>
        <v>0</v>
      </c>
      <c r="BI35" s="25">
        <f t="shared" si="42"/>
        <v>0</v>
      </c>
      <c r="BJ35" s="25">
        <f t="shared" si="43"/>
        <v>0</v>
      </c>
      <c r="BK35" s="27" t="s">
        <v>57</v>
      </c>
      <c r="BL35" s="25">
        <v>34</v>
      </c>
      <c r="BW35" s="25">
        <v>21</v>
      </c>
      <c r="BX35" s="5" t="s">
        <v>127</v>
      </c>
    </row>
    <row r="36" spans="1:76" x14ac:dyDescent="0.25">
      <c r="A36" s="2" t="s">
        <v>128</v>
      </c>
      <c r="B36" s="3" t="s">
        <v>129</v>
      </c>
      <c r="C36" s="93" t="s">
        <v>130</v>
      </c>
      <c r="D36" s="94"/>
      <c r="E36" s="3" t="s">
        <v>131</v>
      </c>
      <c r="F36" s="25">
        <v>152.53</v>
      </c>
      <c r="G36" s="25">
        <v>0</v>
      </c>
      <c r="H36" s="25">
        <f t="shared" si="22"/>
        <v>0</v>
      </c>
      <c r="I36" s="25">
        <f t="shared" si="23"/>
        <v>0</v>
      </c>
      <c r="J36" s="25">
        <f t="shared" si="24"/>
        <v>0</v>
      </c>
      <c r="K36" s="26" t="s">
        <v>53</v>
      </c>
      <c r="Z36" s="25">
        <f t="shared" si="25"/>
        <v>0</v>
      </c>
      <c r="AB36" s="25">
        <f t="shared" si="26"/>
        <v>0</v>
      </c>
      <c r="AC36" s="25">
        <f t="shared" si="27"/>
        <v>0</v>
      </c>
      <c r="AD36" s="25">
        <f t="shared" si="28"/>
        <v>0</v>
      </c>
      <c r="AE36" s="25">
        <f t="shared" si="29"/>
        <v>0</v>
      </c>
      <c r="AF36" s="25">
        <f t="shared" si="30"/>
        <v>0</v>
      </c>
      <c r="AG36" s="25">
        <f t="shared" si="31"/>
        <v>0</v>
      </c>
      <c r="AH36" s="25">
        <f t="shared" si="32"/>
        <v>0</v>
      </c>
      <c r="AI36" s="11" t="s">
        <v>46</v>
      </c>
      <c r="AJ36" s="25">
        <f t="shared" si="33"/>
        <v>0</v>
      </c>
      <c r="AK36" s="25">
        <f t="shared" si="34"/>
        <v>0</v>
      </c>
      <c r="AL36" s="25">
        <f t="shared" si="35"/>
        <v>0</v>
      </c>
      <c r="AN36" s="25">
        <v>21</v>
      </c>
      <c r="AO36" s="25">
        <f t="shared" si="44"/>
        <v>0</v>
      </c>
      <c r="AP36" s="25">
        <f t="shared" si="45"/>
        <v>0</v>
      </c>
      <c r="AQ36" s="27" t="s">
        <v>49</v>
      </c>
      <c r="AV36" s="25">
        <f t="shared" si="36"/>
        <v>0</v>
      </c>
      <c r="AW36" s="25">
        <f t="shared" si="37"/>
        <v>0</v>
      </c>
      <c r="AX36" s="25">
        <f t="shared" si="38"/>
        <v>0</v>
      </c>
      <c r="AY36" s="27" t="s">
        <v>94</v>
      </c>
      <c r="AZ36" s="27" t="s">
        <v>55</v>
      </c>
      <c r="BA36" s="11" t="s">
        <v>56</v>
      </c>
      <c r="BC36" s="25">
        <f t="shared" si="39"/>
        <v>0</v>
      </c>
      <c r="BD36" s="25">
        <f t="shared" si="40"/>
        <v>0</v>
      </c>
      <c r="BE36" s="25">
        <v>0</v>
      </c>
      <c r="BF36" s="25">
        <f>36</f>
        <v>36</v>
      </c>
      <c r="BH36" s="25">
        <f t="shared" si="41"/>
        <v>0</v>
      </c>
      <c r="BI36" s="25">
        <f t="shared" si="42"/>
        <v>0</v>
      </c>
      <c r="BJ36" s="25">
        <f t="shared" si="43"/>
        <v>0</v>
      </c>
      <c r="BK36" s="27" t="s">
        <v>57</v>
      </c>
      <c r="BL36" s="25">
        <v>34</v>
      </c>
      <c r="BW36" s="25">
        <v>21</v>
      </c>
      <c r="BX36" s="5" t="s">
        <v>130</v>
      </c>
    </row>
    <row r="37" spans="1:76" x14ac:dyDescent="0.25">
      <c r="A37" s="2" t="s">
        <v>132</v>
      </c>
      <c r="B37" s="3" t="s">
        <v>133</v>
      </c>
      <c r="C37" s="93" t="s">
        <v>134</v>
      </c>
      <c r="D37" s="94"/>
      <c r="E37" s="3" t="s">
        <v>93</v>
      </c>
      <c r="F37" s="25">
        <v>345.06</v>
      </c>
      <c r="G37" s="25">
        <v>0</v>
      </c>
      <c r="H37" s="25">
        <f t="shared" si="22"/>
        <v>0</v>
      </c>
      <c r="I37" s="25">
        <f t="shared" si="23"/>
        <v>0</v>
      </c>
      <c r="J37" s="25">
        <f t="shared" si="24"/>
        <v>0</v>
      </c>
      <c r="K37" s="26" t="s">
        <v>53</v>
      </c>
      <c r="Z37" s="25">
        <f t="shared" si="25"/>
        <v>0</v>
      </c>
      <c r="AB37" s="25">
        <f t="shared" si="26"/>
        <v>0</v>
      </c>
      <c r="AC37" s="25">
        <f t="shared" si="27"/>
        <v>0</v>
      </c>
      <c r="AD37" s="25">
        <f t="shared" si="28"/>
        <v>0</v>
      </c>
      <c r="AE37" s="25">
        <f t="shared" si="29"/>
        <v>0</v>
      </c>
      <c r="AF37" s="25">
        <f t="shared" si="30"/>
        <v>0</v>
      </c>
      <c r="AG37" s="25">
        <f t="shared" si="31"/>
        <v>0</v>
      </c>
      <c r="AH37" s="25">
        <f t="shared" si="32"/>
        <v>0</v>
      </c>
      <c r="AI37" s="11" t="s">
        <v>46</v>
      </c>
      <c r="AJ37" s="25">
        <f t="shared" si="33"/>
        <v>0</v>
      </c>
      <c r="AK37" s="25">
        <f t="shared" si="34"/>
        <v>0</v>
      </c>
      <c r="AL37" s="25">
        <f t="shared" si="35"/>
        <v>0</v>
      </c>
      <c r="AN37" s="25">
        <v>21</v>
      </c>
      <c r="AO37" s="25">
        <f t="shared" si="44"/>
        <v>0</v>
      </c>
      <c r="AP37" s="25">
        <f t="shared" si="45"/>
        <v>0</v>
      </c>
      <c r="AQ37" s="27" t="s">
        <v>49</v>
      </c>
      <c r="AV37" s="25">
        <f t="shared" si="36"/>
        <v>0</v>
      </c>
      <c r="AW37" s="25">
        <f t="shared" si="37"/>
        <v>0</v>
      </c>
      <c r="AX37" s="25">
        <f t="shared" si="38"/>
        <v>0</v>
      </c>
      <c r="AY37" s="27" t="s">
        <v>94</v>
      </c>
      <c r="AZ37" s="27" t="s">
        <v>55</v>
      </c>
      <c r="BA37" s="11" t="s">
        <v>56</v>
      </c>
      <c r="BC37" s="25">
        <f t="shared" si="39"/>
        <v>0</v>
      </c>
      <c r="BD37" s="25">
        <f t="shared" si="40"/>
        <v>0</v>
      </c>
      <c r="BE37" s="25">
        <v>0</v>
      </c>
      <c r="BF37" s="25">
        <f>37</f>
        <v>37</v>
      </c>
      <c r="BH37" s="25">
        <f t="shared" si="41"/>
        <v>0</v>
      </c>
      <c r="BI37" s="25">
        <f t="shared" si="42"/>
        <v>0</v>
      </c>
      <c r="BJ37" s="25">
        <f t="shared" si="43"/>
        <v>0</v>
      </c>
      <c r="BK37" s="27" t="s">
        <v>57</v>
      </c>
      <c r="BL37" s="25">
        <v>34</v>
      </c>
      <c r="BW37" s="25">
        <v>21</v>
      </c>
      <c r="BX37" s="5" t="s">
        <v>134</v>
      </c>
    </row>
    <row r="38" spans="1:76" x14ac:dyDescent="0.25">
      <c r="A38" s="2" t="s">
        <v>135</v>
      </c>
      <c r="B38" s="3" t="s">
        <v>136</v>
      </c>
      <c r="C38" s="93" t="s">
        <v>137</v>
      </c>
      <c r="D38" s="94"/>
      <c r="E38" s="3" t="s">
        <v>93</v>
      </c>
      <c r="F38" s="25">
        <v>298.29300000000001</v>
      </c>
      <c r="G38" s="25">
        <v>0</v>
      </c>
      <c r="H38" s="25">
        <f t="shared" si="22"/>
        <v>0</v>
      </c>
      <c r="I38" s="25">
        <f t="shared" si="23"/>
        <v>0</v>
      </c>
      <c r="J38" s="25">
        <f t="shared" si="24"/>
        <v>0</v>
      </c>
      <c r="K38" s="26" t="s">
        <v>53</v>
      </c>
      <c r="Z38" s="25">
        <f t="shared" si="25"/>
        <v>0</v>
      </c>
      <c r="AB38" s="25">
        <f t="shared" si="26"/>
        <v>0</v>
      </c>
      <c r="AC38" s="25">
        <f t="shared" si="27"/>
        <v>0</v>
      </c>
      <c r="AD38" s="25">
        <f t="shared" si="28"/>
        <v>0</v>
      </c>
      <c r="AE38" s="25">
        <f t="shared" si="29"/>
        <v>0</v>
      </c>
      <c r="AF38" s="25">
        <f t="shared" si="30"/>
        <v>0</v>
      </c>
      <c r="AG38" s="25">
        <f t="shared" si="31"/>
        <v>0</v>
      </c>
      <c r="AH38" s="25">
        <f t="shared" si="32"/>
        <v>0</v>
      </c>
      <c r="AI38" s="11" t="s">
        <v>46</v>
      </c>
      <c r="AJ38" s="25">
        <f t="shared" si="33"/>
        <v>0</v>
      </c>
      <c r="AK38" s="25">
        <f t="shared" si="34"/>
        <v>0</v>
      </c>
      <c r="AL38" s="25">
        <f t="shared" si="35"/>
        <v>0</v>
      </c>
      <c r="AN38" s="25">
        <v>21</v>
      </c>
      <c r="AO38" s="25">
        <f t="shared" si="44"/>
        <v>0</v>
      </c>
      <c r="AP38" s="25">
        <f t="shared" si="45"/>
        <v>0</v>
      </c>
      <c r="AQ38" s="27" t="s">
        <v>49</v>
      </c>
      <c r="AV38" s="25">
        <f t="shared" si="36"/>
        <v>0</v>
      </c>
      <c r="AW38" s="25">
        <f t="shared" si="37"/>
        <v>0</v>
      </c>
      <c r="AX38" s="25">
        <f t="shared" si="38"/>
        <v>0</v>
      </c>
      <c r="AY38" s="27" t="s">
        <v>94</v>
      </c>
      <c r="AZ38" s="27" t="s">
        <v>55</v>
      </c>
      <c r="BA38" s="11" t="s">
        <v>56</v>
      </c>
      <c r="BC38" s="25">
        <f t="shared" si="39"/>
        <v>0</v>
      </c>
      <c r="BD38" s="25">
        <f t="shared" si="40"/>
        <v>0</v>
      </c>
      <c r="BE38" s="25">
        <v>0</v>
      </c>
      <c r="BF38" s="25">
        <f>38</f>
        <v>38</v>
      </c>
      <c r="BH38" s="25">
        <f t="shared" si="41"/>
        <v>0</v>
      </c>
      <c r="BI38" s="25">
        <f t="shared" si="42"/>
        <v>0</v>
      </c>
      <c r="BJ38" s="25">
        <f t="shared" si="43"/>
        <v>0</v>
      </c>
      <c r="BK38" s="27" t="s">
        <v>57</v>
      </c>
      <c r="BL38" s="25">
        <v>34</v>
      </c>
      <c r="BW38" s="25">
        <v>21</v>
      </c>
      <c r="BX38" s="5" t="s">
        <v>137</v>
      </c>
    </row>
    <row r="39" spans="1:76" x14ac:dyDescent="0.25">
      <c r="A39" s="2" t="s">
        <v>138</v>
      </c>
      <c r="B39" s="3" t="s">
        <v>139</v>
      </c>
      <c r="C39" s="93" t="s">
        <v>140</v>
      </c>
      <c r="D39" s="94"/>
      <c r="E39" s="3" t="s">
        <v>93</v>
      </c>
      <c r="F39" s="25">
        <v>1.8149999999999999</v>
      </c>
      <c r="G39" s="25">
        <v>0</v>
      </c>
      <c r="H39" s="25">
        <f t="shared" si="22"/>
        <v>0</v>
      </c>
      <c r="I39" s="25">
        <f t="shared" si="23"/>
        <v>0</v>
      </c>
      <c r="J39" s="25">
        <f t="shared" si="24"/>
        <v>0</v>
      </c>
      <c r="K39" s="26" t="s">
        <v>53</v>
      </c>
      <c r="Z39" s="25">
        <f t="shared" si="25"/>
        <v>0</v>
      </c>
      <c r="AB39" s="25">
        <f t="shared" si="26"/>
        <v>0</v>
      </c>
      <c r="AC39" s="25">
        <f t="shared" si="27"/>
        <v>0</v>
      </c>
      <c r="AD39" s="25">
        <f t="shared" si="28"/>
        <v>0</v>
      </c>
      <c r="AE39" s="25">
        <f t="shared" si="29"/>
        <v>0</v>
      </c>
      <c r="AF39" s="25">
        <f t="shared" si="30"/>
        <v>0</v>
      </c>
      <c r="AG39" s="25">
        <f t="shared" si="31"/>
        <v>0</v>
      </c>
      <c r="AH39" s="25">
        <f t="shared" si="32"/>
        <v>0</v>
      </c>
      <c r="AI39" s="11" t="s">
        <v>46</v>
      </c>
      <c r="AJ39" s="25">
        <f t="shared" si="33"/>
        <v>0</v>
      </c>
      <c r="AK39" s="25">
        <f t="shared" si="34"/>
        <v>0</v>
      </c>
      <c r="AL39" s="25">
        <f t="shared" si="35"/>
        <v>0</v>
      </c>
      <c r="AN39" s="25">
        <v>21</v>
      </c>
      <c r="AO39" s="25">
        <f>G39*0.689957297</f>
        <v>0</v>
      </c>
      <c r="AP39" s="25">
        <f>G39*(1-0.689957297)</f>
        <v>0</v>
      </c>
      <c r="AQ39" s="27" t="s">
        <v>49</v>
      </c>
      <c r="AV39" s="25">
        <f t="shared" si="36"/>
        <v>0</v>
      </c>
      <c r="AW39" s="25">
        <f t="shared" si="37"/>
        <v>0</v>
      </c>
      <c r="AX39" s="25">
        <f t="shared" si="38"/>
        <v>0</v>
      </c>
      <c r="AY39" s="27" t="s">
        <v>94</v>
      </c>
      <c r="AZ39" s="27" t="s">
        <v>55</v>
      </c>
      <c r="BA39" s="11" t="s">
        <v>56</v>
      </c>
      <c r="BC39" s="25">
        <f t="shared" si="39"/>
        <v>0</v>
      </c>
      <c r="BD39" s="25">
        <f t="shared" si="40"/>
        <v>0</v>
      </c>
      <c r="BE39" s="25">
        <v>0</v>
      </c>
      <c r="BF39" s="25">
        <f>39</f>
        <v>39</v>
      </c>
      <c r="BH39" s="25">
        <f t="shared" si="41"/>
        <v>0</v>
      </c>
      <c r="BI39" s="25">
        <f t="shared" si="42"/>
        <v>0</v>
      </c>
      <c r="BJ39" s="25">
        <f t="shared" si="43"/>
        <v>0</v>
      </c>
      <c r="BK39" s="27" t="s">
        <v>57</v>
      </c>
      <c r="BL39" s="25">
        <v>34</v>
      </c>
      <c r="BW39" s="25">
        <v>21</v>
      </c>
      <c r="BX39" s="5" t="s">
        <v>140</v>
      </c>
    </row>
    <row r="40" spans="1:76" x14ac:dyDescent="0.25">
      <c r="A40" s="2" t="s">
        <v>141</v>
      </c>
      <c r="B40" s="3" t="s">
        <v>142</v>
      </c>
      <c r="C40" s="93" t="s">
        <v>143</v>
      </c>
      <c r="D40" s="94"/>
      <c r="E40" s="3" t="s">
        <v>52</v>
      </c>
      <c r="F40" s="25">
        <v>24</v>
      </c>
      <c r="G40" s="25">
        <v>0</v>
      </c>
      <c r="H40" s="25">
        <f t="shared" si="22"/>
        <v>0</v>
      </c>
      <c r="I40" s="25">
        <f t="shared" si="23"/>
        <v>0</v>
      </c>
      <c r="J40" s="25">
        <f t="shared" si="24"/>
        <v>0</v>
      </c>
      <c r="K40" s="26" t="s">
        <v>53</v>
      </c>
      <c r="Z40" s="25">
        <f t="shared" si="25"/>
        <v>0</v>
      </c>
      <c r="AB40" s="25">
        <f t="shared" si="26"/>
        <v>0</v>
      </c>
      <c r="AC40" s="25">
        <f t="shared" si="27"/>
        <v>0</v>
      </c>
      <c r="AD40" s="25">
        <f t="shared" si="28"/>
        <v>0</v>
      </c>
      <c r="AE40" s="25">
        <f t="shared" si="29"/>
        <v>0</v>
      </c>
      <c r="AF40" s="25">
        <f t="shared" si="30"/>
        <v>0</v>
      </c>
      <c r="AG40" s="25">
        <f t="shared" si="31"/>
        <v>0</v>
      </c>
      <c r="AH40" s="25">
        <f t="shared" si="32"/>
        <v>0</v>
      </c>
      <c r="AI40" s="11" t="s">
        <v>46</v>
      </c>
      <c r="AJ40" s="25">
        <f t="shared" si="33"/>
        <v>0</v>
      </c>
      <c r="AK40" s="25">
        <f t="shared" si="34"/>
        <v>0</v>
      </c>
      <c r="AL40" s="25">
        <f t="shared" si="35"/>
        <v>0</v>
      </c>
      <c r="AN40" s="25">
        <v>21</v>
      </c>
      <c r="AO40" s="25">
        <f>G40*0.278984375</f>
        <v>0</v>
      </c>
      <c r="AP40" s="25">
        <f>G40*(1-0.278984375)</f>
        <v>0</v>
      </c>
      <c r="AQ40" s="27" t="s">
        <v>49</v>
      </c>
      <c r="AV40" s="25">
        <f t="shared" si="36"/>
        <v>0</v>
      </c>
      <c r="AW40" s="25">
        <f t="shared" si="37"/>
        <v>0</v>
      </c>
      <c r="AX40" s="25">
        <f t="shared" si="38"/>
        <v>0</v>
      </c>
      <c r="AY40" s="27" t="s">
        <v>94</v>
      </c>
      <c r="AZ40" s="27" t="s">
        <v>55</v>
      </c>
      <c r="BA40" s="11" t="s">
        <v>56</v>
      </c>
      <c r="BC40" s="25">
        <f t="shared" si="39"/>
        <v>0</v>
      </c>
      <c r="BD40" s="25">
        <f t="shared" si="40"/>
        <v>0</v>
      </c>
      <c r="BE40" s="25">
        <v>0</v>
      </c>
      <c r="BF40" s="25">
        <f>40</f>
        <v>40</v>
      </c>
      <c r="BH40" s="25">
        <f t="shared" si="41"/>
        <v>0</v>
      </c>
      <c r="BI40" s="25">
        <f t="shared" si="42"/>
        <v>0</v>
      </c>
      <c r="BJ40" s="25">
        <f t="shared" si="43"/>
        <v>0</v>
      </c>
      <c r="BK40" s="27" t="s">
        <v>57</v>
      </c>
      <c r="BL40" s="25">
        <v>34</v>
      </c>
      <c r="BW40" s="25">
        <v>21</v>
      </c>
      <c r="BX40" s="5" t="s">
        <v>143</v>
      </c>
    </row>
    <row r="41" spans="1:76" x14ac:dyDescent="0.25">
      <c r="A41" s="2" t="s">
        <v>144</v>
      </c>
      <c r="B41" s="3" t="s">
        <v>145</v>
      </c>
      <c r="C41" s="93" t="s">
        <v>146</v>
      </c>
      <c r="D41" s="94"/>
      <c r="E41" s="3" t="s">
        <v>52</v>
      </c>
      <c r="F41" s="25">
        <v>5</v>
      </c>
      <c r="G41" s="25">
        <v>0</v>
      </c>
      <c r="H41" s="25">
        <f t="shared" si="22"/>
        <v>0</v>
      </c>
      <c r="I41" s="25">
        <f t="shared" si="23"/>
        <v>0</v>
      </c>
      <c r="J41" s="25">
        <f t="shared" si="24"/>
        <v>0</v>
      </c>
      <c r="K41" s="26" t="s">
        <v>53</v>
      </c>
      <c r="Z41" s="25">
        <f t="shared" si="25"/>
        <v>0</v>
      </c>
      <c r="AB41" s="25">
        <f t="shared" si="26"/>
        <v>0</v>
      </c>
      <c r="AC41" s="25">
        <f t="shared" si="27"/>
        <v>0</v>
      </c>
      <c r="AD41" s="25">
        <f t="shared" si="28"/>
        <v>0</v>
      </c>
      <c r="AE41" s="25">
        <f t="shared" si="29"/>
        <v>0</v>
      </c>
      <c r="AF41" s="25">
        <f t="shared" si="30"/>
        <v>0</v>
      </c>
      <c r="AG41" s="25">
        <f t="shared" si="31"/>
        <v>0</v>
      </c>
      <c r="AH41" s="25">
        <f t="shared" si="32"/>
        <v>0</v>
      </c>
      <c r="AI41" s="11" t="s">
        <v>46</v>
      </c>
      <c r="AJ41" s="25">
        <f t="shared" si="33"/>
        <v>0</v>
      </c>
      <c r="AK41" s="25">
        <f t="shared" si="34"/>
        <v>0</v>
      </c>
      <c r="AL41" s="25">
        <f t="shared" si="35"/>
        <v>0</v>
      </c>
      <c r="AN41" s="25">
        <v>21</v>
      </c>
      <c r="AO41" s="25">
        <f>G41*0.356012987</f>
        <v>0</v>
      </c>
      <c r="AP41" s="25">
        <f>G41*(1-0.356012987)</f>
        <v>0</v>
      </c>
      <c r="AQ41" s="27" t="s">
        <v>49</v>
      </c>
      <c r="AV41" s="25">
        <f t="shared" si="36"/>
        <v>0</v>
      </c>
      <c r="AW41" s="25">
        <f t="shared" si="37"/>
        <v>0</v>
      </c>
      <c r="AX41" s="25">
        <f t="shared" si="38"/>
        <v>0</v>
      </c>
      <c r="AY41" s="27" t="s">
        <v>94</v>
      </c>
      <c r="AZ41" s="27" t="s">
        <v>55</v>
      </c>
      <c r="BA41" s="11" t="s">
        <v>56</v>
      </c>
      <c r="BC41" s="25">
        <f t="shared" si="39"/>
        <v>0</v>
      </c>
      <c r="BD41" s="25">
        <f t="shared" si="40"/>
        <v>0</v>
      </c>
      <c r="BE41" s="25">
        <v>0</v>
      </c>
      <c r="BF41" s="25">
        <f>41</f>
        <v>41</v>
      </c>
      <c r="BH41" s="25">
        <f t="shared" si="41"/>
        <v>0</v>
      </c>
      <c r="BI41" s="25">
        <f t="shared" si="42"/>
        <v>0</v>
      </c>
      <c r="BJ41" s="25">
        <f t="shared" si="43"/>
        <v>0</v>
      </c>
      <c r="BK41" s="27" t="s">
        <v>57</v>
      </c>
      <c r="BL41" s="25">
        <v>34</v>
      </c>
      <c r="BW41" s="25">
        <v>21</v>
      </c>
      <c r="BX41" s="5" t="s">
        <v>146</v>
      </c>
    </row>
    <row r="42" spans="1:76" x14ac:dyDescent="0.25">
      <c r="A42" s="2" t="s">
        <v>147</v>
      </c>
      <c r="B42" s="3" t="s">
        <v>148</v>
      </c>
      <c r="C42" s="93" t="s">
        <v>149</v>
      </c>
      <c r="D42" s="94"/>
      <c r="E42" s="3" t="s">
        <v>52</v>
      </c>
      <c r="F42" s="25">
        <v>36</v>
      </c>
      <c r="G42" s="25">
        <v>0</v>
      </c>
      <c r="H42" s="25">
        <f t="shared" si="22"/>
        <v>0</v>
      </c>
      <c r="I42" s="25">
        <f t="shared" si="23"/>
        <v>0</v>
      </c>
      <c r="J42" s="25">
        <f t="shared" si="24"/>
        <v>0</v>
      </c>
      <c r="K42" s="26" t="s">
        <v>53</v>
      </c>
      <c r="Z42" s="25">
        <f t="shared" si="25"/>
        <v>0</v>
      </c>
      <c r="AB42" s="25">
        <f t="shared" si="26"/>
        <v>0</v>
      </c>
      <c r="AC42" s="25">
        <f t="shared" si="27"/>
        <v>0</v>
      </c>
      <c r="AD42" s="25">
        <f t="shared" si="28"/>
        <v>0</v>
      </c>
      <c r="AE42" s="25">
        <f t="shared" si="29"/>
        <v>0</v>
      </c>
      <c r="AF42" s="25">
        <f t="shared" si="30"/>
        <v>0</v>
      </c>
      <c r="AG42" s="25">
        <f t="shared" si="31"/>
        <v>0</v>
      </c>
      <c r="AH42" s="25">
        <f t="shared" si="32"/>
        <v>0</v>
      </c>
      <c r="AI42" s="11" t="s">
        <v>46</v>
      </c>
      <c r="AJ42" s="25">
        <f t="shared" si="33"/>
        <v>0</v>
      </c>
      <c r="AK42" s="25">
        <f t="shared" si="34"/>
        <v>0</v>
      </c>
      <c r="AL42" s="25">
        <f t="shared" si="35"/>
        <v>0</v>
      </c>
      <c r="AN42" s="25">
        <v>21</v>
      </c>
      <c r="AO42" s="25">
        <f>G42*0.355991903</f>
        <v>0</v>
      </c>
      <c r="AP42" s="25">
        <f>G42*(1-0.355991903)</f>
        <v>0</v>
      </c>
      <c r="AQ42" s="27" t="s">
        <v>49</v>
      </c>
      <c r="AV42" s="25">
        <f t="shared" si="36"/>
        <v>0</v>
      </c>
      <c r="AW42" s="25">
        <f t="shared" si="37"/>
        <v>0</v>
      </c>
      <c r="AX42" s="25">
        <f t="shared" si="38"/>
        <v>0</v>
      </c>
      <c r="AY42" s="27" t="s">
        <v>94</v>
      </c>
      <c r="AZ42" s="27" t="s">
        <v>55</v>
      </c>
      <c r="BA42" s="11" t="s">
        <v>56</v>
      </c>
      <c r="BC42" s="25">
        <f t="shared" si="39"/>
        <v>0</v>
      </c>
      <c r="BD42" s="25">
        <f t="shared" si="40"/>
        <v>0</v>
      </c>
      <c r="BE42" s="25">
        <v>0</v>
      </c>
      <c r="BF42" s="25">
        <f>42</f>
        <v>42</v>
      </c>
      <c r="BH42" s="25">
        <f t="shared" si="41"/>
        <v>0</v>
      </c>
      <c r="BI42" s="25">
        <f t="shared" si="42"/>
        <v>0</v>
      </c>
      <c r="BJ42" s="25">
        <f t="shared" si="43"/>
        <v>0</v>
      </c>
      <c r="BK42" s="27" t="s">
        <v>57</v>
      </c>
      <c r="BL42" s="25">
        <v>34</v>
      </c>
      <c r="BW42" s="25">
        <v>21</v>
      </c>
      <c r="BX42" s="5" t="s">
        <v>149</v>
      </c>
    </row>
    <row r="43" spans="1:76" x14ac:dyDescent="0.25">
      <c r="A43" s="2" t="s">
        <v>150</v>
      </c>
      <c r="B43" s="3" t="s">
        <v>151</v>
      </c>
      <c r="C43" s="93" t="s">
        <v>152</v>
      </c>
      <c r="D43" s="94"/>
      <c r="E43" s="3" t="s">
        <v>52</v>
      </c>
      <c r="F43" s="25">
        <v>25</v>
      </c>
      <c r="G43" s="25">
        <v>0</v>
      </c>
      <c r="H43" s="25">
        <f t="shared" si="22"/>
        <v>0</v>
      </c>
      <c r="I43" s="25">
        <f t="shared" si="23"/>
        <v>0</v>
      </c>
      <c r="J43" s="25">
        <f t="shared" si="24"/>
        <v>0</v>
      </c>
      <c r="K43" s="26" t="s">
        <v>53</v>
      </c>
      <c r="Z43" s="25">
        <f t="shared" si="25"/>
        <v>0</v>
      </c>
      <c r="AB43" s="25">
        <f t="shared" si="26"/>
        <v>0</v>
      </c>
      <c r="AC43" s="25">
        <f t="shared" si="27"/>
        <v>0</v>
      </c>
      <c r="AD43" s="25">
        <f t="shared" si="28"/>
        <v>0</v>
      </c>
      <c r="AE43" s="25">
        <f t="shared" si="29"/>
        <v>0</v>
      </c>
      <c r="AF43" s="25">
        <f t="shared" si="30"/>
        <v>0</v>
      </c>
      <c r="AG43" s="25">
        <f t="shared" si="31"/>
        <v>0</v>
      </c>
      <c r="AH43" s="25">
        <f t="shared" si="32"/>
        <v>0</v>
      </c>
      <c r="AI43" s="11" t="s">
        <v>46</v>
      </c>
      <c r="AJ43" s="25">
        <f t="shared" si="33"/>
        <v>0</v>
      </c>
      <c r="AK43" s="25">
        <f t="shared" si="34"/>
        <v>0</v>
      </c>
      <c r="AL43" s="25">
        <f t="shared" si="35"/>
        <v>0</v>
      </c>
      <c r="AN43" s="25">
        <v>21</v>
      </c>
      <c r="AO43" s="25">
        <f>G43*0.355897436</f>
        <v>0</v>
      </c>
      <c r="AP43" s="25">
        <f>G43*(1-0.355897436)</f>
        <v>0</v>
      </c>
      <c r="AQ43" s="27" t="s">
        <v>49</v>
      </c>
      <c r="AV43" s="25">
        <f t="shared" si="36"/>
        <v>0</v>
      </c>
      <c r="AW43" s="25">
        <f t="shared" si="37"/>
        <v>0</v>
      </c>
      <c r="AX43" s="25">
        <f t="shared" si="38"/>
        <v>0</v>
      </c>
      <c r="AY43" s="27" t="s">
        <v>94</v>
      </c>
      <c r="AZ43" s="27" t="s">
        <v>55</v>
      </c>
      <c r="BA43" s="11" t="s">
        <v>56</v>
      </c>
      <c r="BC43" s="25">
        <f t="shared" si="39"/>
        <v>0</v>
      </c>
      <c r="BD43" s="25">
        <f t="shared" si="40"/>
        <v>0</v>
      </c>
      <c r="BE43" s="25">
        <v>0</v>
      </c>
      <c r="BF43" s="25">
        <f>43</f>
        <v>43</v>
      </c>
      <c r="BH43" s="25">
        <f t="shared" si="41"/>
        <v>0</v>
      </c>
      <c r="BI43" s="25">
        <f t="shared" si="42"/>
        <v>0</v>
      </c>
      <c r="BJ43" s="25">
        <f t="shared" si="43"/>
        <v>0</v>
      </c>
      <c r="BK43" s="27" t="s">
        <v>57</v>
      </c>
      <c r="BL43" s="25">
        <v>34</v>
      </c>
      <c r="BW43" s="25">
        <v>21</v>
      </c>
      <c r="BX43" s="5" t="s">
        <v>152</v>
      </c>
    </row>
    <row r="44" spans="1:76" x14ac:dyDescent="0.25">
      <c r="A44" s="2" t="s">
        <v>47</v>
      </c>
      <c r="B44" s="3" t="s">
        <v>153</v>
      </c>
      <c r="C44" s="93" t="s">
        <v>154</v>
      </c>
      <c r="D44" s="94"/>
      <c r="E44" s="3" t="s">
        <v>52</v>
      </c>
      <c r="F44" s="25">
        <v>10</v>
      </c>
      <c r="G44" s="25">
        <v>0</v>
      </c>
      <c r="H44" s="25">
        <f t="shared" si="22"/>
        <v>0</v>
      </c>
      <c r="I44" s="25">
        <f t="shared" si="23"/>
        <v>0</v>
      </c>
      <c r="J44" s="25">
        <f t="shared" si="24"/>
        <v>0</v>
      </c>
      <c r="K44" s="26" t="s">
        <v>53</v>
      </c>
      <c r="Z44" s="25">
        <f t="shared" si="25"/>
        <v>0</v>
      </c>
      <c r="AB44" s="25">
        <f t="shared" si="26"/>
        <v>0</v>
      </c>
      <c r="AC44" s="25">
        <f t="shared" si="27"/>
        <v>0</v>
      </c>
      <c r="AD44" s="25">
        <f t="shared" si="28"/>
        <v>0</v>
      </c>
      <c r="AE44" s="25">
        <f t="shared" si="29"/>
        <v>0</v>
      </c>
      <c r="AF44" s="25">
        <f t="shared" si="30"/>
        <v>0</v>
      </c>
      <c r="AG44" s="25">
        <f t="shared" si="31"/>
        <v>0</v>
      </c>
      <c r="AH44" s="25">
        <f t="shared" si="32"/>
        <v>0</v>
      </c>
      <c r="AI44" s="11" t="s">
        <v>46</v>
      </c>
      <c r="AJ44" s="25">
        <f t="shared" si="33"/>
        <v>0</v>
      </c>
      <c r="AK44" s="25">
        <f t="shared" si="34"/>
        <v>0</v>
      </c>
      <c r="AL44" s="25">
        <f t="shared" si="35"/>
        <v>0</v>
      </c>
      <c r="AN44" s="25">
        <v>21</v>
      </c>
      <c r="AO44" s="25">
        <f>G44*0.013874488</f>
        <v>0</v>
      </c>
      <c r="AP44" s="25">
        <f>G44*(1-0.013874488)</f>
        <v>0</v>
      </c>
      <c r="AQ44" s="27" t="s">
        <v>49</v>
      </c>
      <c r="AV44" s="25">
        <f t="shared" si="36"/>
        <v>0</v>
      </c>
      <c r="AW44" s="25">
        <f t="shared" si="37"/>
        <v>0</v>
      </c>
      <c r="AX44" s="25">
        <f t="shared" si="38"/>
        <v>0</v>
      </c>
      <c r="AY44" s="27" t="s">
        <v>94</v>
      </c>
      <c r="AZ44" s="27" t="s">
        <v>55</v>
      </c>
      <c r="BA44" s="11" t="s">
        <v>56</v>
      </c>
      <c r="BC44" s="25">
        <f t="shared" si="39"/>
        <v>0</v>
      </c>
      <c r="BD44" s="25">
        <f t="shared" si="40"/>
        <v>0</v>
      </c>
      <c r="BE44" s="25">
        <v>0</v>
      </c>
      <c r="BF44" s="25">
        <f>44</f>
        <v>44</v>
      </c>
      <c r="BH44" s="25">
        <f t="shared" si="41"/>
        <v>0</v>
      </c>
      <c r="BI44" s="25">
        <f t="shared" si="42"/>
        <v>0</v>
      </c>
      <c r="BJ44" s="25">
        <f t="shared" si="43"/>
        <v>0</v>
      </c>
      <c r="BK44" s="27" t="s">
        <v>57</v>
      </c>
      <c r="BL44" s="25">
        <v>34</v>
      </c>
      <c r="BW44" s="25">
        <v>21</v>
      </c>
      <c r="BX44" s="5" t="s">
        <v>154</v>
      </c>
    </row>
    <row r="45" spans="1:76" x14ac:dyDescent="0.25">
      <c r="A45" s="2" t="s">
        <v>155</v>
      </c>
      <c r="B45" s="3" t="s">
        <v>156</v>
      </c>
      <c r="C45" s="93" t="s">
        <v>157</v>
      </c>
      <c r="D45" s="94"/>
      <c r="E45" s="3" t="s">
        <v>93</v>
      </c>
      <c r="F45" s="25">
        <v>6.8540000000000001</v>
      </c>
      <c r="G45" s="25">
        <v>0</v>
      </c>
      <c r="H45" s="25">
        <f t="shared" si="22"/>
        <v>0</v>
      </c>
      <c r="I45" s="25">
        <f t="shared" si="23"/>
        <v>0</v>
      </c>
      <c r="J45" s="25">
        <f t="shared" si="24"/>
        <v>0</v>
      </c>
      <c r="K45" s="26" t="s">
        <v>53</v>
      </c>
      <c r="Z45" s="25">
        <f t="shared" si="25"/>
        <v>0</v>
      </c>
      <c r="AB45" s="25">
        <f t="shared" si="26"/>
        <v>0</v>
      </c>
      <c r="AC45" s="25">
        <f t="shared" si="27"/>
        <v>0</v>
      </c>
      <c r="AD45" s="25">
        <f t="shared" si="28"/>
        <v>0</v>
      </c>
      <c r="AE45" s="25">
        <f t="shared" si="29"/>
        <v>0</v>
      </c>
      <c r="AF45" s="25">
        <f t="shared" si="30"/>
        <v>0</v>
      </c>
      <c r="AG45" s="25">
        <f t="shared" si="31"/>
        <v>0</v>
      </c>
      <c r="AH45" s="25">
        <f t="shared" si="32"/>
        <v>0</v>
      </c>
      <c r="AI45" s="11" t="s">
        <v>46</v>
      </c>
      <c r="AJ45" s="25">
        <f t="shared" si="33"/>
        <v>0</v>
      </c>
      <c r="AK45" s="25">
        <f t="shared" si="34"/>
        <v>0</v>
      </c>
      <c r="AL45" s="25">
        <f t="shared" si="35"/>
        <v>0</v>
      </c>
      <c r="AN45" s="25">
        <v>21</v>
      </c>
      <c r="AO45" s="25">
        <f>G45*0</f>
        <v>0</v>
      </c>
      <c r="AP45" s="25">
        <f>G45*(1-0)</f>
        <v>0</v>
      </c>
      <c r="AQ45" s="27" t="s">
        <v>49</v>
      </c>
      <c r="AV45" s="25">
        <f t="shared" si="36"/>
        <v>0</v>
      </c>
      <c r="AW45" s="25">
        <f t="shared" si="37"/>
        <v>0</v>
      </c>
      <c r="AX45" s="25">
        <f t="shared" si="38"/>
        <v>0</v>
      </c>
      <c r="AY45" s="27" t="s">
        <v>94</v>
      </c>
      <c r="AZ45" s="27" t="s">
        <v>55</v>
      </c>
      <c r="BA45" s="11" t="s">
        <v>56</v>
      </c>
      <c r="BC45" s="25">
        <f t="shared" si="39"/>
        <v>0</v>
      </c>
      <c r="BD45" s="25">
        <f t="shared" si="40"/>
        <v>0</v>
      </c>
      <c r="BE45" s="25">
        <v>0</v>
      </c>
      <c r="BF45" s="25">
        <f>45</f>
        <v>45</v>
      </c>
      <c r="BH45" s="25">
        <f t="shared" si="41"/>
        <v>0</v>
      </c>
      <c r="BI45" s="25">
        <f t="shared" si="42"/>
        <v>0</v>
      </c>
      <c r="BJ45" s="25">
        <f t="shared" si="43"/>
        <v>0</v>
      </c>
      <c r="BK45" s="27" t="s">
        <v>57</v>
      </c>
      <c r="BL45" s="25">
        <v>34</v>
      </c>
      <c r="BW45" s="25">
        <v>21</v>
      </c>
      <c r="BX45" s="5" t="s">
        <v>157</v>
      </c>
    </row>
    <row r="46" spans="1:76" x14ac:dyDescent="0.25">
      <c r="A46" s="2" t="s">
        <v>158</v>
      </c>
      <c r="B46" s="3" t="s">
        <v>159</v>
      </c>
      <c r="C46" s="93" t="s">
        <v>160</v>
      </c>
      <c r="D46" s="94"/>
      <c r="E46" s="3" t="s">
        <v>93</v>
      </c>
      <c r="F46" s="25">
        <v>40.484999999999999</v>
      </c>
      <c r="G46" s="25">
        <v>0</v>
      </c>
      <c r="H46" s="25">
        <f t="shared" si="22"/>
        <v>0</v>
      </c>
      <c r="I46" s="25">
        <f t="shared" si="23"/>
        <v>0</v>
      </c>
      <c r="J46" s="25">
        <f t="shared" si="24"/>
        <v>0</v>
      </c>
      <c r="K46" s="26" t="s">
        <v>53</v>
      </c>
      <c r="Z46" s="25">
        <f t="shared" si="25"/>
        <v>0</v>
      </c>
      <c r="AB46" s="25">
        <f t="shared" si="26"/>
        <v>0</v>
      </c>
      <c r="AC46" s="25">
        <f t="shared" si="27"/>
        <v>0</v>
      </c>
      <c r="AD46" s="25">
        <f t="shared" si="28"/>
        <v>0</v>
      </c>
      <c r="AE46" s="25">
        <f t="shared" si="29"/>
        <v>0</v>
      </c>
      <c r="AF46" s="25">
        <f t="shared" si="30"/>
        <v>0</v>
      </c>
      <c r="AG46" s="25">
        <f t="shared" si="31"/>
        <v>0</v>
      </c>
      <c r="AH46" s="25">
        <f t="shared" si="32"/>
        <v>0</v>
      </c>
      <c r="AI46" s="11" t="s">
        <v>46</v>
      </c>
      <c r="AJ46" s="25">
        <f t="shared" si="33"/>
        <v>0</v>
      </c>
      <c r="AK46" s="25">
        <f t="shared" si="34"/>
        <v>0</v>
      </c>
      <c r="AL46" s="25">
        <f t="shared" si="35"/>
        <v>0</v>
      </c>
      <c r="AN46" s="25">
        <v>21</v>
      </c>
      <c r="AO46" s="25">
        <f>G46*0</f>
        <v>0</v>
      </c>
      <c r="AP46" s="25">
        <f>G46*(1-0)</f>
        <v>0</v>
      </c>
      <c r="AQ46" s="27" t="s">
        <v>49</v>
      </c>
      <c r="AV46" s="25">
        <f t="shared" si="36"/>
        <v>0</v>
      </c>
      <c r="AW46" s="25">
        <f t="shared" si="37"/>
        <v>0</v>
      </c>
      <c r="AX46" s="25">
        <f t="shared" si="38"/>
        <v>0</v>
      </c>
      <c r="AY46" s="27" t="s">
        <v>94</v>
      </c>
      <c r="AZ46" s="27" t="s">
        <v>55</v>
      </c>
      <c r="BA46" s="11" t="s">
        <v>56</v>
      </c>
      <c r="BC46" s="25">
        <f t="shared" si="39"/>
        <v>0</v>
      </c>
      <c r="BD46" s="25">
        <f t="shared" si="40"/>
        <v>0</v>
      </c>
      <c r="BE46" s="25">
        <v>0</v>
      </c>
      <c r="BF46" s="25">
        <f>46</f>
        <v>46</v>
      </c>
      <c r="BH46" s="25">
        <f t="shared" si="41"/>
        <v>0</v>
      </c>
      <c r="BI46" s="25">
        <f t="shared" si="42"/>
        <v>0</v>
      </c>
      <c r="BJ46" s="25">
        <f t="shared" si="43"/>
        <v>0</v>
      </c>
      <c r="BK46" s="27" t="s">
        <v>57</v>
      </c>
      <c r="BL46" s="25">
        <v>34</v>
      </c>
      <c r="BW46" s="25">
        <v>21</v>
      </c>
      <c r="BX46" s="5" t="s">
        <v>160</v>
      </c>
    </row>
    <row r="47" spans="1:76" x14ac:dyDescent="0.25">
      <c r="A47" s="2" t="s">
        <v>88</v>
      </c>
      <c r="B47" s="3" t="s">
        <v>161</v>
      </c>
      <c r="C47" s="93" t="s">
        <v>162</v>
      </c>
      <c r="D47" s="94"/>
      <c r="E47" s="3" t="s">
        <v>93</v>
      </c>
      <c r="F47" s="25">
        <v>109.474</v>
      </c>
      <c r="G47" s="25">
        <v>0</v>
      </c>
      <c r="H47" s="25">
        <f t="shared" si="22"/>
        <v>0</v>
      </c>
      <c r="I47" s="25">
        <f t="shared" si="23"/>
        <v>0</v>
      </c>
      <c r="J47" s="25">
        <f t="shared" si="24"/>
        <v>0</v>
      </c>
      <c r="K47" s="26" t="s">
        <v>53</v>
      </c>
      <c r="Z47" s="25">
        <f t="shared" si="25"/>
        <v>0</v>
      </c>
      <c r="AB47" s="25">
        <f t="shared" si="26"/>
        <v>0</v>
      </c>
      <c r="AC47" s="25">
        <f t="shared" si="27"/>
        <v>0</v>
      </c>
      <c r="AD47" s="25">
        <f t="shared" si="28"/>
        <v>0</v>
      </c>
      <c r="AE47" s="25">
        <f t="shared" si="29"/>
        <v>0</v>
      </c>
      <c r="AF47" s="25">
        <f t="shared" si="30"/>
        <v>0</v>
      </c>
      <c r="AG47" s="25">
        <f t="shared" si="31"/>
        <v>0</v>
      </c>
      <c r="AH47" s="25">
        <f t="shared" si="32"/>
        <v>0</v>
      </c>
      <c r="AI47" s="11" t="s">
        <v>46</v>
      </c>
      <c r="AJ47" s="25">
        <f t="shared" si="33"/>
        <v>0</v>
      </c>
      <c r="AK47" s="25">
        <f t="shared" si="34"/>
        <v>0</v>
      </c>
      <c r="AL47" s="25">
        <f t="shared" si="35"/>
        <v>0</v>
      </c>
      <c r="AN47" s="25">
        <v>21</v>
      </c>
      <c r="AO47" s="25">
        <f>G47*0.51835052</f>
        <v>0</v>
      </c>
      <c r="AP47" s="25">
        <f>G47*(1-0.51835052)</f>
        <v>0</v>
      </c>
      <c r="AQ47" s="27" t="s">
        <v>49</v>
      </c>
      <c r="AV47" s="25">
        <f t="shared" si="36"/>
        <v>0</v>
      </c>
      <c r="AW47" s="25">
        <f t="shared" si="37"/>
        <v>0</v>
      </c>
      <c r="AX47" s="25">
        <f t="shared" si="38"/>
        <v>0</v>
      </c>
      <c r="AY47" s="27" t="s">
        <v>94</v>
      </c>
      <c r="AZ47" s="27" t="s">
        <v>55</v>
      </c>
      <c r="BA47" s="11" t="s">
        <v>56</v>
      </c>
      <c r="BC47" s="25">
        <f t="shared" si="39"/>
        <v>0</v>
      </c>
      <c r="BD47" s="25">
        <f t="shared" si="40"/>
        <v>0</v>
      </c>
      <c r="BE47" s="25">
        <v>0</v>
      </c>
      <c r="BF47" s="25">
        <f>47</f>
        <v>47</v>
      </c>
      <c r="BH47" s="25">
        <f t="shared" si="41"/>
        <v>0</v>
      </c>
      <c r="BI47" s="25">
        <f t="shared" si="42"/>
        <v>0</v>
      </c>
      <c r="BJ47" s="25">
        <f t="shared" si="43"/>
        <v>0</v>
      </c>
      <c r="BK47" s="27" t="s">
        <v>57</v>
      </c>
      <c r="BL47" s="25">
        <v>34</v>
      </c>
      <c r="BW47" s="25">
        <v>21</v>
      </c>
      <c r="BX47" s="5" t="s">
        <v>162</v>
      </c>
    </row>
    <row r="48" spans="1:76" x14ac:dyDescent="0.25">
      <c r="A48" s="2" t="s">
        <v>163</v>
      </c>
      <c r="B48" s="3" t="s">
        <v>164</v>
      </c>
      <c r="C48" s="93" t="s">
        <v>165</v>
      </c>
      <c r="D48" s="94"/>
      <c r="E48" s="3" t="s">
        <v>93</v>
      </c>
      <c r="F48" s="25">
        <v>18.712</v>
      </c>
      <c r="G48" s="25">
        <v>0</v>
      </c>
      <c r="H48" s="25">
        <f t="shared" si="22"/>
        <v>0</v>
      </c>
      <c r="I48" s="25">
        <f t="shared" si="23"/>
        <v>0</v>
      </c>
      <c r="J48" s="25">
        <f t="shared" si="24"/>
        <v>0</v>
      </c>
      <c r="K48" s="26" t="s">
        <v>53</v>
      </c>
      <c r="Z48" s="25">
        <f t="shared" si="25"/>
        <v>0</v>
      </c>
      <c r="AB48" s="25">
        <f t="shared" si="26"/>
        <v>0</v>
      </c>
      <c r="AC48" s="25">
        <f t="shared" si="27"/>
        <v>0</v>
      </c>
      <c r="AD48" s="25">
        <f t="shared" si="28"/>
        <v>0</v>
      </c>
      <c r="AE48" s="25">
        <f t="shared" si="29"/>
        <v>0</v>
      </c>
      <c r="AF48" s="25">
        <f t="shared" si="30"/>
        <v>0</v>
      </c>
      <c r="AG48" s="25">
        <f t="shared" si="31"/>
        <v>0</v>
      </c>
      <c r="AH48" s="25">
        <f t="shared" si="32"/>
        <v>0</v>
      </c>
      <c r="AI48" s="11" t="s">
        <v>46</v>
      </c>
      <c r="AJ48" s="25">
        <f t="shared" si="33"/>
        <v>0</v>
      </c>
      <c r="AK48" s="25">
        <f t="shared" si="34"/>
        <v>0</v>
      </c>
      <c r="AL48" s="25">
        <f t="shared" si="35"/>
        <v>0</v>
      </c>
      <c r="AN48" s="25">
        <v>21</v>
      </c>
      <c r="AO48" s="25">
        <f>G48*0.518345273</f>
        <v>0</v>
      </c>
      <c r="AP48" s="25">
        <f>G48*(1-0.518345273)</f>
        <v>0</v>
      </c>
      <c r="AQ48" s="27" t="s">
        <v>49</v>
      </c>
      <c r="AV48" s="25">
        <f t="shared" si="36"/>
        <v>0</v>
      </c>
      <c r="AW48" s="25">
        <f t="shared" si="37"/>
        <v>0</v>
      </c>
      <c r="AX48" s="25">
        <f t="shared" si="38"/>
        <v>0</v>
      </c>
      <c r="AY48" s="27" t="s">
        <v>94</v>
      </c>
      <c r="AZ48" s="27" t="s">
        <v>55</v>
      </c>
      <c r="BA48" s="11" t="s">
        <v>56</v>
      </c>
      <c r="BC48" s="25">
        <f t="shared" si="39"/>
        <v>0</v>
      </c>
      <c r="BD48" s="25">
        <f t="shared" si="40"/>
        <v>0</v>
      </c>
      <c r="BE48" s="25">
        <v>0</v>
      </c>
      <c r="BF48" s="25">
        <f>48</f>
        <v>48</v>
      </c>
      <c r="BH48" s="25">
        <f t="shared" si="41"/>
        <v>0</v>
      </c>
      <c r="BI48" s="25">
        <f t="shared" si="42"/>
        <v>0</v>
      </c>
      <c r="BJ48" s="25">
        <f t="shared" si="43"/>
        <v>0</v>
      </c>
      <c r="BK48" s="27" t="s">
        <v>57</v>
      </c>
      <c r="BL48" s="25">
        <v>34</v>
      </c>
      <c r="BW48" s="25">
        <v>21</v>
      </c>
      <c r="BX48" s="5" t="s">
        <v>165</v>
      </c>
    </row>
    <row r="49" spans="1:76" x14ac:dyDescent="0.25">
      <c r="A49" s="2" t="s">
        <v>166</v>
      </c>
      <c r="B49" s="3" t="s">
        <v>167</v>
      </c>
      <c r="C49" s="93" t="s">
        <v>168</v>
      </c>
      <c r="D49" s="94"/>
      <c r="E49" s="3" t="s">
        <v>93</v>
      </c>
      <c r="F49" s="25">
        <v>13.406000000000001</v>
      </c>
      <c r="G49" s="25">
        <v>0</v>
      </c>
      <c r="H49" s="25">
        <f t="shared" si="22"/>
        <v>0</v>
      </c>
      <c r="I49" s="25">
        <f t="shared" si="23"/>
        <v>0</v>
      </c>
      <c r="J49" s="25">
        <f t="shared" si="24"/>
        <v>0</v>
      </c>
      <c r="K49" s="26" t="s">
        <v>53</v>
      </c>
      <c r="Z49" s="25">
        <f t="shared" si="25"/>
        <v>0</v>
      </c>
      <c r="AB49" s="25">
        <f t="shared" si="26"/>
        <v>0</v>
      </c>
      <c r="AC49" s="25">
        <f t="shared" si="27"/>
        <v>0</v>
      </c>
      <c r="AD49" s="25">
        <f t="shared" si="28"/>
        <v>0</v>
      </c>
      <c r="AE49" s="25">
        <f t="shared" si="29"/>
        <v>0</v>
      </c>
      <c r="AF49" s="25">
        <f t="shared" si="30"/>
        <v>0</v>
      </c>
      <c r="AG49" s="25">
        <f t="shared" si="31"/>
        <v>0</v>
      </c>
      <c r="AH49" s="25">
        <f t="shared" si="32"/>
        <v>0</v>
      </c>
      <c r="AI49" s="11" t="s">
        <v>46</v>
      </c>
      <c r="AJ49" s="25">
        <f t="shared" si="33"/>
        <v>0</v>
      </c>
      <c r="AK49" s="25">
        <f t="shared" si="34"/>
        <v>0</v>
      </c>
      <c r="AL49" s="25">
        <f t="shared" si="35"/>
        <v>0</v>
      </c>
      <c r="AN49" s="25">
        <v>21</v>
      </c>
      <c r="AO49" s="25">
        <f>G49*0.453457656</f>
        <v>0</v>
      </c>
      <c r="AP49" s="25">
        <f>G49*(1-0.453457656)</f>
        <v>0</v>
      </c>
      <c r="AQ49" s="27" t="s">
        <v>49</v>
      </c>
      <c r="AV49" s="25">
        <f t="shared" si="36"/>
        <v>0</v>
      </c>
      <c r="AW49" s="25">
        <f t="shared" si="37"/>
        <v>0</v>
      </c>
      <c r="AX49" s="25">
        <f t="shared" si="38"/>
        <v>0</v>
      </c>
      <c r="AY49" s="27" t="s">
        <v>94</v>
      </c>
      <c r="AZ49" s="27" t="s">
        <v>55</v>
      </c>
      <c r="BA49" s="11" t="s">
        <v>56</v>
      </c>
      <c r="BC49" s="25">
        <f t="shared" si="39"/>
        <v>0</v>
      </c>
      <c r="BD49" s="25">
        <f t="shared" si="40"/>
        <v>0</v>
      </c>
      <c r="BE49" s="25">
        <v>0</v>
      </c>
      <c r="BF49" s="25">
        <f>49</f>
        <v>49</v>
      </c>
      <c r="BH49" s="25">
        <f t="shared" si="41"/>
        <v>0</v>
      </c>
      <c r="BI49" s="25">
        <f t="shared" si="42"/>
        <v>0</v>
      </c>
      <c r="BJ49" s="25">
        <f t="shared" si="43"/>
        <v>0</v>
      </c>
      <c r="BK49" s="27" t="s">
        <v>57</v>
      </c>
      <c r="BL49" s="25">
        <v>34</v>
      </c>
      <c r="BW49" s="25">
        <v>21</v>
      </c>
      <c r="BX49" s="5" t="s">
        <v>168</v>
      </c>
    </row>
    <row r="50" spans="1:76" ht="25.5" x14ac:dyDescent="0.25">
      <c r="A50" s="2" t="s">
        <v>169</v>
      </c>
      <c r="B50" s="3" t="s">
        <v>170</v>
      </c>
      <c r="C50" s="93" t="s">
        <v>171</v>
      </c>
      <c r="D50" s="94"/>
      <c r="E50" s="3" t="s">
        <v>131</v>
      </c>
      <c r="F50" s="25">
        <v>2.87</v>
      </c>
      <c r="G50" s="25">
        <v>0</v>
      </c>
      <c r="H50" s="25">
        <f t="shared" si="22"/>
        <v>0</v>
      </c>
      <c r="I50" s="25">
        <f t="shared" si="23"/>
        <v>0</v>
      </c>
      <c r="J50" s="25">
        <f t="shared" si="24"/>
        <v>0</v>
      </c>
      <c r="K50" s="26" t="s">
        <v>53</v>
      </c>
      <c r="Z50" s="25">
        <f t="shared" si="25"/>
        <v>0</v>
      </c>
      <c r="AB50" s="25">
        <f t="shared" si="26"/>
        <v>0</v>
      </c>
      <c r="AC50" s="25">
        <f t="shared" si="27"/>
        <v>0</v>
      </c>
      <c r="AD50" s="25">
        <f t="shared" si="28"/>
        <v>0</v>
      </c>
      <c r="AE50" s="25">
        <f t="shared" si="29"/>
        <v>0</v>
      </c>
      <c r="AF50" s="25">
        <f t="shared" si="30"/>
        <v>0</v>
      </c>
      <c r="AG50" s="25">
        <f t="shared" si="31"/>
        <v>0</v>
      </c>
      <c r="AH50" s="25">
        <f t="shared" si="32"/>
        <v>0</v>
      </c>
      <c r="AI50" s="11" t="s">
        <v>46</v>
      </c>
      <c r="AJ50" s="25">
        <f t="shared" si="33"/>
        <v>0</v>
      </c>
      <c r="AK50" s="25">
        <f t="shared" si="34"/>
        <v>0</v>
      </c>
      <c r="AL50" s="25">
        <f t="shared" si="35"/>
        <v>0</v>
      </c>
      <c r="AN50" s="25">
        <v>21</v>
      </c>
      <c r="AO50" s="25">
        <f>G50*0.162536916</f>
        <v>0</v>
      </c>
      <c r="AP50" s="25">
        <f>G50*(1-0.162536916)</f>
        <v>0</v>
      </c>
      <c r="AQ50" s="27" t="s">
        <v>49</v>
      </c>
      <c r="AV50" s="25">
        <f t="shared" si="36"/>
        <v>0</v>
      </c>
      <c r="AW50" s="25">
        <f t="shared" si="37"/>
        <v>0</v>
      </c>
      <c r="AX50" s="25">
        <f t="shared" si="38"/>
        <v>0</v>
      </c>
      <c r="AY50" s="27" t="s">
        <v>94</v>
      </c>
      <c r="AZ50" s="27" t="s">
        <v>55</v>
      </c>
      <c r="BA50" s="11" t="s">
        <v>56</v>
      </c>
      <c r="BC50" s="25">
        <f t="shared" si="39"/>
        <v>0</v>
      </c>
      <c r="BD50" s="25">
        <f t="shared" si="40"/>
        <v>0</v>
      </c>
      <c r="BE50" s="25">
        <v>0</v>
      </c>
      <c r="BF50" s="25">
        <f>50</f>
        <v>50</v>
      </c>
      <c r="BH50" s="25">
        <f t="shared" si="41"/>
        <v>0</v>
      </c>
      <c r="BI50" s="25">
        <f t="shared" si="42"/>
        <v>0</v>
      </c>
      <c r="BJ50" s="25">
        <f t="shared" si="43"/>
        <v>0</v>
      </c>
      <c r="BK50" s="27" t="s">
        <v>57</v>
      </c>
      <c r="BL50" s="25">
        <v>34</v>
      </c>
      <c r="BW50" s="25">
        <v>21</v>
      </c>
      <c r="BX50" s="5" t="s">
        <v>171</v>
      </c>
    </row>
    <row r="51" spans="1:76" x14ac:dyDescent="0.25">
      <c r="A51" s="2" t="s">
        <v>172</v>
      </c>
      <c r="B51" s="3" t="s">
        <v>173</v>
      </c>
      <c r="C51" s="93" t="s">
        <v>174</v>
      </c>
      <c r="D51" s="94"/>
      <c r="E51" s="3" t="s">
        <v>93</v>
      </c>
      <c r="F51" s="25">
        <v>10</v>
      </c>
      <c r="G51" s="25">
        <v>0</v>
      </c>
      <c r="H51" s="25">
        <f t="shared" si="22"/>
        <v>0</v>
      </c>
      <c r="I51" s="25">
        <f t="shared" si="23"/>
        <v>0</v>
      </c>
      <c r="J51" s="25">
        <f t="shared" si="24"/>
        <v>0</v>
      </c>
      <c r="K51" s="26" t="s">
        <v>53</v>
      </c>
      <c r="Z51" s="25">
        <f t="shared" si="25"/>
        <v>0</v>
      </c>
      <c r="AB51" s="25">
        <f t="shared" si="26"/>
        <v>0</v>
      </c>
      <c r="AC51" s="25">
        <f t="shared" si="27"/>
        <v>0</v>
      </c>
      <c r="AD51" s="25">
        <f t="shared" si="28"/>
        <v>0</v>
      </c>
      <c r="AE51" s="25">
        <f t="shared" si="29"/>
        <v>0</v>
      </c>
      <c r="AF51" s="25">
        <f t="shared" si="30"/>
        <v>0</v>
      </c>
      <c r="AG51" s="25">
        <f t="shared" si="31"/>
        <v>0</v>
      </c>
      <c r="AH51" s="25">
        <f t="shared" si="32"/>
        <v>0</v>
      </c>
      <c r="AI51" s="11" t="s">
        <v>46</v>
      </c>
      <c r="AJ51" s="25">
        <f t="shared" si="33"/>
        <v>0</v>
      </c>
      <c r="AK51" s="25">
        <f t="shared" si="34"/>
        <v>0</v>
      </c>
      <c r="AL51" s="25">
        <f t="shared" si="35"/>
        <v>0</v>
      </c>
      <c r="AN51" s="25">
        <v>21</v>
      </c>
      <c r="AO51" s="25">
        <f>G51*0.431086324</f>
        <v>0</v>
      </c>
      <c r="AP51" s="25">
        <f>G51*(1-0.431086324)</f>
        <v>0</v>
      </c>
      <c r="AQ51" s="27" t="s">
        <v>49</v>
      </c>
      <c r="AV51" s="25">
        <f t="shared" si="36"/>
        <v>0</v>
      </c>
      <c r="AW51" s="25">
        <f t="shared" si="37"/>
        <v>0</v>
      </c>
      <c r="AX51" s="25">
        <f t="shared" si="38"/>
        <v>0</v>
      </c>
      <c r="AY51" s="27" t="s">
        <v>94</v>
      </c>
      <c r="AZ51" s="27" t="s">
        <v>55</v>
      </c>
      <c r="BA51" s="11" t="s">
        <v>56</v>
      </c>
      <c r="BC51" s="25">
        <f t="shared" si="39"/>
        <v>0</v>
      </c>
      <c r="BD51" s="25">
        <f t="shared" si="40"/>
        <v>0</v>
      </c>
      <c r="BE51" s="25">
        <v>0</v>
      </c>
      <c r="BF51" s="25">
        <f>51</f>
        <v>51</v>
      </c>
      <c r="BH51" s="25">
        <f t="shared" si="41"/>
        <v>0</v>
      </c>
      <c r="BI51" s="25">
        <f t="shared" si="42"/>
        <v>0</v>
      </c>
      <c r="BJ51" s="25">
        <f t="shared" si="43"/>
        <v>0</v>
      </c>
      <c r="BK51" s="27" t="s">
        <v>57</v>
      </c>
      <c r="BL51" s="25">
        <v>34</v>
      </c>
      <c r="BW51" s="25">
        <v>21</v>
      </c>
      <c r="BX51" s="5" t="s">
        <v>174</v>
      </c>
    </row>
    <row r="52" spans="1:76" x14ac:dyDescent="0.25">
      <c r="A52" s="2" t="s">
        <v>175</v>
      </c>
      <c r="B52" s="3" t="s">
        <v>176</v>
      </c>
      <c r="C52" s="93" t="s">
        <v>177</v>
      </c>
      <c r="D52" s="94"/>
      <c r="E52" s="3" t="s">
        <v>93</v>
      </c>
      <c r="F52" s="25">
        <v>20.292999999999999</v>
      </c>
      <c r="G52" s="25">
        <v>0</v>
      </c>
      <c r="H52" s="25">
        <f t="shared" si="22"/>
        <v>0</v>
      </c>
      <c r="I52" s="25">
        <f t="shared" si="23"/>
        <v>0</v>
      </c>
      <c r="J52" s="25">
        <f t="shared" si="24"/>
        <v>0</v>
      </c>
      <c r="K52" s="26" t="s">
        <v>53</v>
      </c>
      <c r="Z52" s="25">
        <f t="shared" si="25"/>
        <v>0</v>
      </c>
      <c r="AB52" s="25">
        <f t="shared" si="26"/>
        <v>0</v>
      </c>
      <c r="AC52" s="25">
        <f t="shared" si="27"/>
        <v>0</v>
      </c>
      <c r="AD52" s="25">
        <f t="shared" si="28"/>
        <v>0</v>
      </c>
      <c r="AE52" s="25">
        <f t="shared" si="29"/>
        <v>0</v>
      </c>
      <c r="AF52" s="25">
        <f t="shared" si="30"/>
        <v>0</v>
      </c>
      <c r="AG52" s="25">
        <f t="shared" si="31"/>
        <v>0</v>
      </c>
      <c r="AH52" s="25">
        <f t="shared" si="32"/>
        <v>0</v>
      </c>
      <c r="AI52" s="11" t="s">
        <v>46</v>
      </c>
      <c r="AJ52" s="25">
        <f t="shared" si="33"/>
        <v>0</v>
      </c>
      <c r="AK52" s="25">
        <f t="shared" si="34"/>
        <v>0</v>
      </c>
      <c r="AL52" s="25">
        <f t="shared" si="35"/>
        <v>0</v>
      </c>
      <c r="AN52" s="25">
        <v>21</v>
      </c>
      <c r="AO52" s="25">
        <f>G52*0.453091109</f>
        <v>0</v>
      </c>
      <c r="AP52" s="25">
        <f>G52*(1-0.453091109)</f>
        <v>0</v>
      </c>
      <c r="AQ52" s="27" t="s">
        <v>49</v>
      </c>
      <c r="AV52" s="25">
        <f t="shared" si="36"/>
        <v>0</v>
      </c>
      <c r="AW52" s="25">
        <f t="shared" si="37"/>
        <v>0</v>
      </c>
      <c r="AX52" s="25">
        <f t="shared" si="38"/>
        <v>0</v>
      </c>
      <c r="AY52" s="27" t="s">
        <v>94</v>
      </c>
      <c r="AZ52" s="27" t="s">
        <v>55</v>
      </c>
      <c r="BA52" s="11" t="s">
        <v>56</v>
      </c>
      <c r="BC52" s="25">
        <f t="shared" si="39"/>
        <v>0</v>
      </c>
      <c r="BD52" s="25">
        <f t="shared" si="40"/>
        <v>0</v>
      </c>
      <c r="BE52" s="25">
        <v>0</v>
      </c>
      <c r="BF52" s="25">
        <f>52</f>
        <v>52</v>
      </c>
      <c r="BH52" s="25">
        <f t="shared" si="41"/>
        <v>0</v>
      </c>
      <c r="BI52" s="25">
        <f t="shared" si="42"/>
        <v>0</v>
      </c>
      <c r="BJ52" s="25">
        <f t="shared" si="43"/>
        <v>0</v>
      </c>
      <c r="BK52" s="27" t="s">
        <v>57</v>
      </c>
      <c r="BL52" s="25">
        <v>34</v>
      </c>
      <c r="BW52" s="25">
        <v>21</v>
      </c>
      <c r="BX52" s="5" t="s">
        <v>177</v>
      </c>
    </row>
    <row r="53" spans="1:76" x14ac:dyDescent="0.25">
      <c r="A53" s="2" t="s">
        <v>178</v>
      </c>
      <c r="B53" s="3" t="s">
        <v>179</v>
      </c>
      <c r="C53" s="93" t="s">
        <v>180</v>
      </c>
      <c r="D53" s="94"/>
      <c r="E53" s="3" t="s">
        <v>93</v>
      </c>
      <c r="F53" s="25">
        <v>51.314</v>
      </c>
      <c r="G53" s="25">
        <v>0</v>
      </c>
      <c r="H53" s="25">
        <f t="shared" si="22"/>
        <v>0</v>
      </c>
      <c r="I53" s="25">
        <f t="shared" si="23"/>
        <v>0</v>
      </c>
      <c r="J53" s="25">
        <f t="shared" si="24"/>
        <v>0</v>
      </c>
      <c r="K53" s="26" t="s">
        <v>53</v>
      </c>
      <c r="Z53" s="25">
        <f t="shared" si="25"/>
        <v>0</v>
      </c>
      <c r="AB53" s="25">
        <f t="shared" si="26"/>
        <v>0</v>
      </c>
      <c r="AC53" s="25">
        <f t="shared" si="27"/>
        <v>0</v>
      </c>
      <c r="AD53" s="25">
        <f t="shared" si="28"/>
        <v>0</v>
      </c>
      <c r="AE53" s="25">
        <f t="shared" si="29"/>
        <v>0</v>
      </c>
      <c r="AF53" s="25">
        <f t="shared" si="30"/>
        <v>0</v>
      </c>
      <c r="AG53" s="25">
        <f t="shared" si="31"/>
        <v>0</v>
      </c>
      <c r="AH53" s="25">
        <f t="shared" si="32"/>
        <v>0</v>
      </c>
      <c r="AI53" s="11" t="s">
        <v>46</v>
      </c>
      <c r="AJ53" s="25">
        <f t="shared" si="33"/>
        <v>0</v>
      </c>
      <c r="AK53" s="25">
        <f t="shared" si="34"/>
        <v>0</v>
      </c>
      <c r="AL53" s="25">
        <f t="shared" si="35"/>
        <v>0</v>
      </c>
      <c r="AN53" s="25">
        <v>21</v>
      </c>
      <c r="AO53" s="25">
        <f>G53*0.550157184</f>
        <v>0</v>
      </c>
      <c r="AP53" s="25">
        <f>G53*(1-0.550157184)</f>
        <v>0</v>
      </c>
      <c r="AQ53" s="27" t="s">
        <v>49</v>
      </c>
      <c r="AV53" s="25">
        <f t="shared" si="36"/>
        <v>0</v>
      </c>
      <c r="AW53" s="25">
        <f t="shared" si="37"/>
        <v>0</v>
      </c>
      <c r="AX53" s="25">
        <f t="shared" si="38"/>
        <v>0</v>
      </c>
      <c r="AY53" s="27" t="s">
        <v>94</v>
      </c>
      <c r="AZ53" s="27" t="s">
        <v>55</v>
      </c>
      <c r="BA53" s="11" t="s">
        <v>56</v>
      </c>
      <c r="BC53" s="25">
        <f t="shared" si="39"/>
        <v>0</v>
      </c>
      <c r="BD53" s="25">
        <f t="shared" si="40"/>
        <v>0</v>
      </c>
      <c r="BE53" s="25">
        <v>0</v>
      </c>
      <c r="BF53" s="25">
        <f>53</f>
        <v>53</v>
      </c>
      <c r="BH53" s="25">
        <f t="shared" si="41"/>
        <v>0</v>
      </c>
      <c r="BI53" s="25">
        <f t="shared" si="42"/>
        <v>0</v>
      </c>
      <c r="BJ53" s="25">
        <f t="shared" si="43"/>
        <v>0</v>
      </c>
      <c r="BK53" s="27" t="s">
        <v>57</v>
      </c>
      <c r="BL53" s="25">
        <v>34</v>
      </c>
      <c r="BW53" s="25">
        <v>21</v>
      </c>
      <c r="BX53" s="5" t="s">
        <v>180</v>
      </c>
    </row>
    <row r="54" spans="1:76" ht="25.5" x14ac:dyDescent="0.25">
      <c r="A54" s="2" t="s">
        <v>181</v>
      </c>
      <c r="B54" s="3" t="s">
        <v>182</v>
      </c>
      <c r="C54" s="93" t="s">
        <v>183</v>
      </c>
      <c r="D54" s="94"/>
      <c r="E54" s="3" t="s">
        <v>93</v>
      </c>
      <c r="F54" s="25">
        <v>46.783999999999999</v>
      </c>
      <c r="G54" s="25">
        <v>0</v>
      </c>
      <c r="H54" s="25">
        <f t="shared" si="22"/>
        <v>0</v>
      </c>
      <c r="I54" s="25">
        <f t="shared" si="23"/>
        <v>0</v>
      </c>
      <c r="J54" s="25">
        <f t="shared" si="24"/>
        <v>0</v>
      </c>
      <c r="K54" s="26" t="s">
        <v>53</v>
      </c>
      <c r="Z54" s="25">
        <f t="shared" si="25"/>
        <v>0</v>
      </c>
      <c r="AB54" s="25">
        <f t="shared" si="26"/>
        <v>0</v>
      </c>
      <c r="AC54" s="25">
        <f t="shared" si="27"/>
        <v>0</v>
      </c>
      <c r="AD54" s="25">
        <f t="shared" si="28"/>
        <v>0</v>
      </c>
      <c r="AE54" s="25">
        <f t="shared" si="29"/>
        <v>0</v>
      </c>
      <c r="AF54" s="25">
        <f t="shared" si="30"/>
        <v>0</v>
      </c>
      <c r="AG54" s="25">
        <f t="shared" si="31"/>
        <v>0</v>
      </c>
      <c r="AH54" s="25">
        <f t="shared" si="32"/>
        <v>0</v>
      </c>
      <c r="AI54" s="11" t="s">
        <v>46</v>
      </c>
      <c r="AJ54" s="25">
        <f t="shared" si="33"/>
        <v>0</v>
      </c>
      <c r="AK54" s="25">
        <f t="shared" si="34"/>
        <v>0</v>
      </c>
      <c r="AL54" s="25">
        <f t="shared" si="35"/>
        <v>0</v>
      </c>
      <c r="AN54" s="25">
        <v>21</v>
      </c>
      <c r="AO54" s="25">
        <f>G54*0.5501566</f>
        <v>0</v>
      </c>
      <c r="AP54" s="25">
        <f>G54*(1-0.5501566)</f>
        <v>0</v>
      </c>
      <c r="AQ54" s="27" t="s">
        <v>49</v>
      </c>
      <c r="AV54" s="25">
        <f t="shared" si="36"/>
        <v>0</v>
      </c>
      <c r="AW54" s="25">
        <f t="shared" si="37"/>
        <v>0</v>
      </c>
      <c r="AX54" s="25">
        <f t="shared" si="38"/>
        <v>0</v>
      </c>
      <c r="AY54" s="27" t="s">
        <v>94</v>
      </c>
      <c r="AZ54" s="27" t="s">
        <v>55</v>
      </c>
      <c r="BA54" s="11" t="s">
        <v>56</v>
      </c>
      <c r="BC54" s="25">
        <f t="shared" si="39"/>
        <v>0</v>
      </c>
      <c r="BD54" s="25">
        <f t="shared" si="40"/>
        <v>0</v>
      </c>
      <c r="BE54" s="25">
        <v>0</v>
      </c>
      <c r="BF54" s="25">
        <f>54</f>
        <v>54</v>
      </c>
      <c r="BH54" s="25">
        <f t="shared" si="41"/>
        <v>0</v>
      </c>
      <c r="BI54" s="25">
        <f t="shared" si="42"/>
        <v>0</v>
      </c>
      <c r="BJ54" s="25">
        <f t="shared" si="43"/>
        <v>0</v>
      </c>
      <c r="BK54" s="27" t="s">
        <v>57</v>
      </c>
      <c r="BL54" s="25">
        <v>34</v>
      </c>
      <c r="BW54" s="25">
        <v>21</v>
      </c>
      <c r="BX54" s="5" t="s">
        <v>183</v>
      </c>
    </row>
    <row r="55" spans="1:76" x14ac:dyDescent="0.25">
      <c r="A55" s="2" t="s">
        <v>184</v>
      </c>
      <c r="B55" s="3" t="s">
        <v>185</v>
      </c>
      <c r="C55" s="93" t="s">
        <v>186</v>
      </c>
      <c r="D55" s="94"/>
      <c r="E55" s="3" t="s">
        <v>93</v>
      </c>
      <c r="F55" s="25">
        <v>4.3460000000000001</v>
      </c>
      <c r="G55" s="25">
        <v>0</v>
      </c>
      <c r="H55" s="25">
        <f t="shared" si="22"/>
        <v>0</v>
      </c>
      <c r="I55" s="25">
        <f t="shared" si="23"/>
        <v>0</v>
      </c>
      <c r="J55" s="25">
        <f t="shared" si="24"/>
        <v>0</v>
      </c>
      <c r="K55" s="26" t="s">
        <v>53</v>
      </c>
      <c r="Z55" s="25">
        <f t="shared" si="25"/>
        <v>0</v>
      </c>
      <c r="AB55" s="25">
        <f t="shared" si="26"/>
        <v>0</v>
      </c>
      <c r="AC55" s="25">
        <f t="shared" si="27"/>
        <v>0</v>
      </c>
      <c r="AD55" s="25">
        <f t="shared" si="28"/>
        <v>0</v>
      </c>
      <c r="AE55" s="25">
        <f t="shared" si="29"/>
        <v>0</v>
      </c>
      <c r="AF55" s="25">
        <f t="shared" si="30"/>
        <v>0</v>
      </c>
      <c r="AG55" s="25">
        <f t="shared" si="31"/>
        <v>0</v>
      </c>
      <c r="AH55" s="25">
        <f t="shared" si="32"/>
        <v>0</v>
      </c>
      <c r="AI55" s="11" t="s">
        <v>46</v>
      </c>
      <c r="AJ55" s="25">
        <f t="shared" si="33"/>
        <v>0</v>
      </c>
      <c r="AK55" s="25">
        <f t="shared" si="34"/>
        <v>0</v>
      </c>
      <c r="AL55" s="25">
        <f t="shared" si="35"/>
        <v>0</v>
      </c>
      <c r="AN55" s="25">
        <v>21</v>
      </c>
      <c r="AO55" s="25">
        <f>G55*0.553779062</f>
        <v>0</v>
      </c>
      <c r="AP55" s="25">
        <f>G55*(1-0.553779062)</f>
        <v>0</v>
      </c>
      <c r="AQ55" s="27" t="s">
        <v>49</v>
      </c>
      <c r="AV55" s="25">
        <f t="shared" si="36"/>
        <v>0</v>
      </c>
      <c r="AW55" s="25">
        <f t="shared" si="37"/>
        <v>0</v>
      </c>
      <c r="AX55" s="25">
        <f t="shared" si="38"/>
        <v>0</v>
      </c>
      <c r="AY55" s="27" t="s">
        <v>94</v>
      </c>
      <c r="AZ55" s="27" t="s">
        <v>55</v>
      </c>
      <c r="BA55" s="11" t="s">
        <v>56</v>
      </c>
      <c r="BC55" s="25">
        <f t="shared" si="39"/>
        <v>0</v>
      </c>
      <c r="BD55" s="25">
        <f t="shared" si="40"/>
        <v>0</v>
      </c>
      <c r="BE55" s="25">
        <v>0</v>
      </c>
      <c r="BF55" s="25">
        <f>55</f>
        <v>55</v>
      </c>
      <c r="BH55" s="25">
        <f t="shared" si="41"/>
        <v>0</v>
      </c>
      <c r="BI55" s="25">
        <f t="shared" si="42"/>
        <v>0</v>
      </c>
      <c r="BJ55" s="25">
        <f t="shared" si="43"/>
        <v>0</v>
      </c>
      <c r="BK55" s="27" t="s">
        <v>57</v>
      </c>
      <c r="BL55" s="25">
        <v>34</v>
      </c>
      <c r="BW55" s="25">
        <v>21</v>
      </c>
      <c r="BX55" s="5" t="s">
        <v>186</v>
      </c>
    </row>
    <row r="56" spans="1:76" ht="25.5" x14ac:dyDescent="0.25">
      <c r="A56" s="2" t="s">
        <v>187</v>
      </c>
      <c r="B56" s="3" t="s">
        <v>188</v>
      </c>
      <c r="C56" s="93" t="s">
        <v>189</v>
      </c>
      <c r="D56" s="94"/>
      <c r="E56" s="3" t="s">
        <v>93</v>
      </c>
      <c r="F56" s="25">
        <v>11.132</v>
      </c>
      <c r="G56" s="25">
        <v>0</v>
      </c>
      <c r="H56" s="25">
        <f t="shared" si="22"/>
        <v>0</v>
      </c>
      <c r="I56" s="25">
        <f t="shared" si="23"/>
        <v>0</v>
      </c>
      <c r="J56" s="25">
        <f t="shared" si="24"/>
        <v>0</v>
      </c>
      <c r="K56" s="26" t="s">
        <v>53</v>
      </c>
      <c r="Z56" s="25">
        <f t="shared" si="25"/>
        <v>0</v>
      </c>
      <c r="AB56" s="25">
        <f t="shared" si="26"/>
        <v>0</v>
      </c>
      <c r="AC56" s="25">
        <f t="shared" si="27"/>
        <v>0</v>
      </c>
      <c r="AD56" s="25">
        <f t="shared" si="28"/>
        <v>0</v>
      </c>
      <c r="AE56" s="25">
        <f t="shared" si="29"/>
        <v>0</v>
      </c>
      <c r="AF56" s="25">
        <f t="shared" si="30"/>
        <v>0</v>
      </c>
      <c r="AG56" s="25">
        <f t="shared" si="31"/>
        <v>0</v>
      </c>
      <c r="AH56" s="25">
        <f t="shared" si="32"/>
        <v>0</v>
      </c>
      <c r="AI56" s="11" t="s">
        <v>46</v>
      </c>
      <c r="AJ56" s="25">
        <f t="shared" si="33"/>
        <v>0</v>
      </c>
      <c r="AK56" s="25">
        <f t="shared" si="34"/>
        <v>0</v>
      </c>
      <c r="AL56" s="25">
        <f t="shared" si="35"/>
        <v>0</v>
      </c>
      <c r="AN56" s="25">
        <v>21</v>
      </c>
      <c r="AO56" s="25">
        <f>G56*0.553779703</f>
        <v>0</v>
      </c>
      <c r="AP56" s="25">
        <f>G56*(1-0.553779703)</f>
        <v>0</v>
      </c>
      <c r="AQ56" s="27" t="s">
        <v>49</v>
      </c>
      <c r="AV56" s="25">
        <f t="shared" si="36"/>
        <v>0</v>
      </c>
      <c r="AW56" s="25">
        <f t="shared" si="37"/>
        <v>0</v>
      </c>
      <c r="AX56" s="25">
        <f t="shared" si="38"/>
        <v>0</v>
      </c>
      <c r="AY56" s="27" t="s">
        <v>94</v>
      </c>
      <c r="AZ56" s="27" t="s">
        <v>55</v>
      </c>
      <c r="BA56" s="11" t="s">
        <v>56</v>
      </c>
      <c r="BC56" s="25">
        <f t="shared" si="39"/>
        <v>0</v>
      </c>
      <c r="BD56" s="25">
        <f t="shared" si="40"/>
        <v>0</v>
      </c>
      <c r="BE56" s="25">
        <v>0</v>
      </c>
      <c r="BF56" s="25">
        <f>56</f>
        <v>56</v>
      </c>
      <c r="BH56" s="25">
        <f t="shared" si="41"/>
        <v>0</v>
      </c>
      <c r="BI56" s="25">
        <f t="shared" si="42"/>
        <v>0</v>
      </c>
      <c r="BJ56" s="25">
        <f t="shared" si="43"/>
        <v>0</v>
      </c>
      <c r="BK56" s="27" t="s">
        <v>57</v>
      </c>
      <c r="BL56" s="25">
        <v>34</v>
      </c>
      <c r="BW56" s="25">
        <v>21</v>
      </c>
      <c r="BX56" s="5" t="s">
        <v>189</v>
      </c>
    </row>
    <row r="57" spans="1:76" x14ac:dyDescent="0.25">
      <c r="A57" s="2" t="s">
        <v>190</v>
      </c>
      <c r="B57" s="3" t="s">
        <v>191</v>
      </c>
      <c r="C57" s="93" t="s">
        <v>192</v>
      </c>
      <c r="D57" s="94"/>
      <c r="E57" s="3" t="s">
        <v>93</v>
      </c>
      <c r="F57" s="25">
        <v>37.921999999999997</v>
      </c>
      <c r="G57" s="25">
        <v>0</v>
      </c>
      <c r="H57" s="25">
        <f t="shared" si="22"/>
        <v>0</v>
      </c>
      <c r="I57" s="25">
        <f t="shared" si="23"/>
        <v>0</v>
      </c>
      <c r="J57" s="25">
        <f t="shared" si="24"/>
        <v>0</v>
      </c>
      <c r="K57" s="26" t="s">
        <v>53</v>
      </c>
      <c r="Z57" s="25">
        <f t="shared" si="25"/>
        <v>0</v>
      </c>
      <c r="AB57" s="25">
        <f t="shared" si="26"/>
        <v>0</v>
      </c>
      <c r="AC57" s="25">
        <f t="shared" si="27"/>
        <v>0</v>
      </c>
      <c r="AD57" s="25">
        <f t="shared" si="28"/>
        <v>0</v>
      </c>
      <c r="AE57" s="25">
        <f t="shared" si="29"/>
        <v>0</v>
      </c>
      <c r="AF57" s="25">
        <f t="shared" si="30"/>
        <v>0</v>
      </c>
      <c r="AG57" s="25">
        <f t="shared" si="31"/>
        <v>0</v>
      </c>
      <c r="AH57" s="25">
        <f t="shared" si="32"/>
        <v>0</v>
      </c>
      <c r="AI57" s="11" t="s">
        <v>46</v>
      </c>
      <c r="AJ57" s="25">
        <f t="shared" si="33"/>
        <v>0</v>
      </c>
      <c r="AK57" s="25">
        <f t="shared" si="34"/>
        <v>0</v>
      </c>
      <c r="AL57" s="25">
        <f t="shared" si="35"/>
        <v>0</v>
      </c>
      <c r="AN57" s="25">
        <v>21</v>
      </c>
      <c r="AO57" s="25">
        <f>G57*0</f>
        <v>0</v>
      </c>
      <c r="AP57" s="25">
        <f>G57*(1-0)</f>
        <v>0</v>
      </c>
      <c r="AQ57" s="27" t="s">
        <v>49</v>
      </c>
      <c r="AV57" s="25">
        <f t="shared" si="36"/>
        <v>0</v>
      </c>
      <c r="AW57" s="25">
        <f t="shared" si="37"/>
        <v>0</v>
      </c>
      <c r="AX57" s="25">
        <f t="shared" si="38"/>
        <v>0</v>
      </c>
      <c r="AY57" s="27" t="s">
        <v>94</v>
      </c>
      <c r="AZ57" s="27" t="s">
        <v>55</v>
      </c>
      <c r="BA57" s="11" t="s">
        <v>56</v>
      </c>
      <c r="BC57" s="25">
        <f t="shared" si="39"/>
        <v>0</v>
      </c>
      <c r="BD57" s="25">
        <f t="shared" si="40"/>
        <v>0</v>
      </c>
      <c r="BE57" s="25">
        <v>0</v>
      </c>
      <c r="BF57" s="25">
        <f>57</f>
        <v>57</v>
      </c>
      <c r="BH57" s="25">
        <f t="shared" si="41"/>
        <v>0</v>
      </c>
      <c r="BI57" s="25">
        <f t="shared" si="42"/>
        <v>0</v>
      </c>
      <c r="BJ57" s="25">
        <f t="shared" si="43"/>
        <v>0</v>
      </c>
      <c r="BK57" s="27" t="s">
        <v>57</v>
      </c>
      <c r="BL57" s="25">
        <v>34</v>
      </c>
      <c r="BW57" s="25">
        <v>21</v>
      </c>
      <c r="BX57" s="5" t="s">
        <v>192</v>
      </c>
    </row>
    <row r="58" spans="1:76" x14ac:dyDescent="0.25">
      <c r="A58" s="28" t="s">
        <v>46</v>
      </c>
      <c r="B58" s="29" t="s">
        <v>181</v>
      </c>
      <c r="C58" s="150" t="s">
        <v>193</v>
      </c>
      <c r="D58" s="151"/>
      <c r="E58" s="30" t="s">
        <v>4</v>
      </c>
      <c r="F58" s="30" t="s">
        <v>4</v>
      </c>
      <c r="G58" s="30" t="s">
        <v>4</v>
      </c>
      <c r="H58" s="1">
        <f>ROUND(SUM(H59:H65),1)</f>
        <v>0</v>
      </c>
      <c r="I58" s="1">
        <f>ROUND(SUM(I59:I65),1)</f>
        <v>0</v>
      </c>
      <c r="J58" s="1">
        <f>ROUND(SUM(J59:J65),1)</f>
        <v>0</v>
      </c>
      <c r="K58" s="31" t="s">
        <v>46</v>
      </c>
      <c r="AI58" s="11" t="s">
        <v>46</v>
      </c>
      <c r="AS58" s="1">
        <f>SUM(AJ59:AJ65)</f>
        <v>0</v>
      </c>
      <c r="AT58" s="1">
        <f>SUM(AK59:AK65)</f>
        <v>0</v>
      </c>
      <c r="AU58" s="1">
        <f>SUM(AL59:AL65)</f>
        <v>0</v>
      </c>
    </row>
    <row r="59" spans="1:76" x14ac:dyDescent="0.25">
      <c r="A59" s="2" t="s">
        <v>194</v>
      </c>
      <c r="B59" s="3" t="s">
        <v>195</v>
      </c>
      <c r="C59" s="93" t="s">
        <v>196</v>
      </c>
      <c r="D59" s="94"/>
      <c r="E59" s="3" t="s">
        <v>61</v>
      </c>
      <c r="F59" s="25">
        <v>5.0999999999999997E-2</v>
      </c>
      <c r="G59" s="25">
        <v>0</v>
      </c>
      <c r="H59" s="25">
        <f t="shared" ref="H59:H65" si="46">ROUND(F59*AO59,2)</f>
        <v>0</v>
      </c>
      <c r="I59" s="25">
        <f t="shared" ref="I59:I65" si="47">ROUND(F59*AP59,2)</f>
        <v>0</v>
      </c>
      <c r="J59" s="25">
        <f t="shared" ref="J59:J65" si="48">ROUND(F59*G59,1)</f>
        <v>0</v>
      </c>
      <c r="K59" s="26" t="s">
        <v>53</v>
      </c>
      <c r="Z59" s="25">
        <f t="shared" ref="Z59:Z65" si="49">ROUND(IF(AQ59="5",BJ59,0),2)</f>
        <v>0</v>
      </c>
      <c r="AB59" s="25">
        <f t="shared" ref="AB59:AB65" si="50">ROUND(IF(AQ59="1",BH59,0),2)</f>
        <v>0</v>
      </c>
      <c r="AC59" s="25">
        <f t="shared" ref="AC59:AC65" si="51">ROUND(IF(AQ59="1",BI59,0),2)</f>
        <v>0</v>
      </c>
      <c r="AD59" s="25">
        <f t="shared" ref="AD59:AD65" si="52">ROUND(IF(AQ59="7",BH59,0),2)</f>
        <v>0</v>
      </c>
      <c r="AE59" s="25">
        <f t="shared" ref="AE59:AE65" si="53">ROUND(IF(AQ59="7",BI59,0),2)</f>
        <v>0</v>
      </c>
      <c r="AF59" s="25">
        <f t="shared" ref="AF59:AF65" si="54">ROUND(IF(AQ59="2",BH59,0),2)</f>
        <v>0</v>
      </c>
      <c r="AG59" s="25">
        <f t="shared" ref="AG59:AG65" si="55">ROUND(IF(AQ59="2",BI59,0),2)</f>
        <v>0</v>
      </c>
      <c r="AH59" s="25">
        <f t="shared" ref="AH59:AH65" si="56">ROUND(IF(AQ59="0",BJ59,0),2)</f>
        <v>0</v>
      </c>
      <c r="AI59" s="11" t="s">
        <v>46</v>
      </c>
      <c r="AJ59" s="25">
        <f t="shared" ref="AJ59:AJ65" si="57">IF(AN59=0,J59,0)</f>
        <v>0</v>
      </c>
      <c r="AK59" s="25">
        <f t="shared" ref="AK59:AK65" si="58">IF(AN59=12,J59,0)</f>
        <v>0</v>
      </c>
      <c r="AL59" s="25">
        <f t="shared" ref="AL59:AL65" si="59">IF(AN59=21,J59,0)</f>
        <v>0</v>
      </c>
      <c r="AN59" s="25">
        <v>21</v>
      </c>
      <c r="AO59" s="25">
        <f>G59*0.479289468</f>
        <v>0</v>
      </c>
      <c r="AP59" s="25">
        <f>G59*(1-0.479289468)</f>
        <v>0</v>
      </c>
      <c r="AQ59" s="27" t="s">
        <v>49</v>
      </c>
      <c r="AV59" s="25">
        <f t="shared" ref="AV59:AV65" si="60">ROUND(AW59+AX59,2)</f>
        <v>0</v>
      </c>
      <c r="AW59" s="25">
        <f t="shared" ref="AW59:AW65" si="61">ROUND(F59*AO59,2)</f>
        <v>0</v>
      </c>
      <c r="AX59" s="25">
        <f t="shared" ref="AX59:AX65" si="62">ROUND(F59*AP59,2)</f>
        <v>0</v>
      </c>
      <c r="AY59" s="27" t="s">
        <v>197</v>
      </c>
      <c r="AZ59" s="27" t="s">
        <v>198</v>
      </c>
      <c r="BA59" s="11" t="s">
        <v>56</v>
      </c>
      <c r="BC59" s="25">
        <f t="shared" ref="BC59:BC65" si="63">AW59+AX59</f>
        <v>0</v>
      </c>
      <c r="BD59" s="25">
        <f t="shared" ref="BD59:BD65" si="64">G59/(100-BE59)*100</f>
        <v>0</v>
      </c>
      <c r="BE59" s="25">
        <v>0</v>
      </c>
      <c r="BF59" s="25">
        <f>59</f>
        <v>59</v>
      </c>
      <c r="BH59" s="25">
        <f t="shared" ref="BH59:BH65" si="65">F59*AO59</f>
        <v>0</v>
      </c>
      <c r="BI59" s="25">
        <f t="shared" ref="BI59:BI65" si="66">F59*AP59</f>
        <v>0</v>
      </c>
      <c r="BJ59" s="25">
        <f t="shared" ref="BJ59:BJ65" si="67">F59*G59</f>
        <v>0</v>
      </c>
      <c r="BK59" s="27" t="s">
        <v>57</v>
      </c>
      <c r="BL59" s="25">
        <v>41</v>
      </c>
      <c r="BW59" s="25">
        <v>21</v>
      </c>
      <c r="BX59" s="5" t="s">
        <v>196</v>
      </c>
    </row>
    <row r="60" spans="1:76" x14ac:dyDescent="0.25">
      <c r="A60" s="2" t="s">
        <v>199</v>
      </c>
      <c r="B60" s="3" t="s">
        <v>200</v>
      </c>
      <c r="C60" s="93" t="s">
        <v>201</v>
      </c>
      <c r="D60" s="94"/>
      <c r="E60" s="3" t="s">
        <v>93</v>
      </c>
      <c r="F60" s="25">
        <v>143.86000000000001</v>
      </c>
      <c r="G60" s="25">
        <v>0</v>
      </c>
      <c r="H60" s="25">
        <f t="shared" si="46"/>
        <v>0</v>
      </c>
      <c r="I60" s="25">
        <f t="shared" si="47"/>
        <v>0</v>
      </c>
      <c r="J60" s="25">
        <f t="shared" si="48"/>
        <v>0</v>
      </c>
      <c r="K60" s="26" t="s">
        <v>53</v>
      </c>
      <c r="Z60" s="25">
        <f t="shared" si="49"/>
        <v>0</v>
      </c>
      <c r="AB60" s="25">
        <f t="shared" si="50"/>
        <v>0</v>
      </c>
      <c r="AC60" s="25">
        <f t="shared" si="51"/>
        <v>0</v>
      </c>
      <c r="AD60" s="25">
        <f t="shared" si="52"/>
        <v>0</v>
      </c>
      <c r="AE60" s="25">
        <f t="shared" si="53"/>
        <v>0</v>
      </c>
      <c r="AF60" s="25">
        <f t="shared" si="54"/>
        <v>0</v>
      </c>
      <c r="AG60" s="25">
        <f t="shared" si="55"/>
        <v>0</v>
      </c>
      <c r="AH60" s="25">
        <f t="shared" si="56"/>
        <v>0</v>
      </c>
      <c r="AI60" s="11" t="s">
        <v>46</v>
      </c>
      <c r="AJ60" s="25">
        <f t="shared" si="57"/>
        <v>0</v>
      </c>
      <c r="AK60" s="25">
        <f t="shared" si="58"/>
        <v>0</v>
      </c>
      <c r="AL60" s="25">
        <f t="shared" si="59"/>
        <v>0</v>
      </c>
      <c r="AN60" s="25">
        <v>21</v>
      </c>
      <c r="AO60" s="25">
        <f>G60*0.293404765</f>
        <v>0</v>
      </c>
      <c r="AP60" s="25">
        <f>G60*(1-0.293404765)</f>
        <v>0</v>
      </c>
      <c r="AQ60" s="27" t="s">
        <v>49</v>
      </c>
      <c r="AV60" s="25">
        <f t="shared" si="60"/>
        <v>0</v>
      </c>
      <c r="AW60" s="25">
        <f t="shared" si="61"/>
        <v>0</v>
      </c>
      <c r="AX60" s="25">
        <f t="shared" si="62"/>
        <v>0</v>
      </c>
      <c r="AY60" s="27" t="s">
        <v>197</v>
      </c>
      <c r="AZ60" s="27" t="s">
        <v>198</v>
      </c>
      <c r="BA60" s="11" t="s">
        <v>56</v>
      </c>
      <c r="BC60" s="25">
        <f t="shared" si="63"/>
        <v>0</v>
      </c>
      <c r="BD60" s="25">
        <f t="shared" si="64"/>
        <v>0</v>
      </c>
      <c r="BE60" s="25">
        <v>0</v>
      </c>
      <c r="BF60" s="25">
        <f>60</f>
        <v>60</v>
      </c>
      <c r="BH60" s="25">
        <f t="shared" si="65"/>
        <v>0</v>
      </c>
      <c r="BI60" s="25">
        <f t="shared" si="66"/>
        <v>0</v>
      </c>
      <c r="BJ60" s="25">
        <f t="shared" si="67"/>
        <v>0</v>
      </c>
      <c r="BK60" s="27" t="s">
        <v>57</v>
      </c>
      <c r="BL60" s="25">
        <v>41</v>
      </c>
      <c r="BW60" s="25">
        <v>21</v>
      </c>
      <c r="BX60" s="5" t="s">
        <v>201</v>
      </c>
    </row>
    <row r="61" spans="1:76" x14ac:dyDescent="0.25">
      <c r="A61" s="2" t="s">
        <v>202</v>
      </c>
      <c r="B61" s="3" t="s">
        <v>203</v>
      </c>
      <c r="C61" s="93" t="s">
        <v>204</v>
      </c>
      <c r="D61" s="94"/>
      <c r="E61" s="3" t="s">
        <v>93</v>
      </c>
      <c r="F61" s="25">
        <v>35.79</v>
      </c>
      <c r="G61" s="25">
        <v>0</v>
      </c>
      <c r="H61" s="25">
        <f t="shared" si="46"/>
        <v>0</v>
      </c>
      <c r="I61" s="25">
        <f t="shared" si="47"/>
        <v>0</v>
      </c>
      <c r="J61" s="25">
        <f t="shared" si="48"/>
        <v>0</v>
      </c>
      <c r="K61" s="26" t="s">
        <v>53</v>
      </c>
      <c r="Z61" s="25">
        <f t="shared" si="49"/>
        <v>0</v>
      </c>
      <c r="AB61" s="25">
        <f t="shared" si="50"/>
        <v>0</v>
      </c>
      <c r="AC61" s="25">
        <f t="shared" si="51"/>
        <v>0</v>
      </c>
      <c r="AD61" s="25">
        <f t="shared" si="52"/>
        <v>0</v>
      </c>
      <c r="AE61" s="25">
        <f t="shared" si="53"/>
        <v>0</v>
      </c>
      <c r="AF61" s="25">
        <f t="shared" si="54"/>
        <v>0</v>
      </c>
      <c r="AG61" s="25">
        <f t="shared" si="55"/>
        <v>0</v>
      </c>
      <c r="AH61" s="25">
        <f t="shared" si="56"/>
        <v>0</v>
      </c>
      <c r="AI61" s="11" t="s">
        <v>46</v>
      </c>
      <c r="AJ61" s="25">
        <f t="shared" si="57"/>
        <v>0</v>
      </c>
      <c r="AK61" s="25">
        <f t="shared" si="58"/>
        <v>0</v>
      </c>
      <c r="AL61" s="25">
        <f t="shared" si="59"/>
        <v>0</v>
      </c>
      <c r="AN61" s="25">
        <v>21</v>
      </c>
      <c r="AO61" s="25">
        <f>G61*0.338846694</f>
        <v>0</v>
      </c>
      <c r="AP61" s="25">
        <f>G61*(1-0.338846694)</f>
        <v>0</v>
      </c>
      <c r="AQ61" s="27" t="s">
        <v>49</v>
      </c>
      <c r="AV61" s="25">
        <f t="shared" si="60"/>
        <v>0</v>
      </c>
      <c r="AW61" s="25">
        <f t="shared" si="61"/>
        <v>0</v>
      </c>
      <c r="AX61" s="25">
        <f t="shared" si="62"/>
        <v>0</v>
      </c>
      <c r="AY61" s="27" t="s">
        <v>197</v>
      </c>
      <c r="AZ61" s="27" t="s">
        <v>198</v>
      </c>
      <c r="BA61" s="11" t="s">
        <v>56</v>
      </c>
      <c r="BC61" s="25">
        <f t="shared" si="63"/>
        <v>0</v>
      </c>
      <c r="BD61" s="25">
        <f t="shared" si="64"/>
        <v>0</v>
      </c>
      <c r="BE61" s="25">
        <v>0</v>
      </c>
      <c r="BF61" s="25">
        <f>61</f>
        <v>61</v>
      </c>
      <c r="BH61" s="25">
        <f t="shared" si="65"/>
        <v>0</v>
      </c>
      <c r="BI61" s="25">
        <f t="shared" si="66"/>
        <v>0</v>
      </c>
      <c r="BJ61" s="25">
        <f t="shared" si="67"/>
        <v>0</v>
      </c>
      <c r="BK61" s="27" t="s">
        <v>57</v>
      </c>
      <c r="BL61" s="25">
        <v>41</v>
      </c>
      <c r="BW61" s="25">
        <v>21</v>
      </c>
      <c r="BX61" s="5" t="s">
        <v>204</v>
      </c>
    </row>
    <row r="62" spans="1:76" x14ac:dyDescent="0.25">
      <c r="A62" s="2" t="s">
        <v>205</v>
      </c>
      <c r="B62" s="3" t="s">
        <v>206</v>
      </c>
      <c r="C62" s="93" t="s">
        <v>207</v>
      </c>
      <c r="D62" s="94"/>
      <c r="E62" s="3" t="s">
        <v>93</v>
      </c>
      <c r="F62" s="25">
        <v>450.58</v>
      </c>
      <c r="G62" s="25">
        <v>0</v>
      </c>
      <c r="H62" s="25">
        <f t="shared" si="46"/>
        <v>0</v>
      </c>
      <c r="I62" s="25">
        <f t="shared" si="47"/>
        <v>0</v>
      </c>
      <c r="J62" s="25">
        <f t="shared" si="48"/>
        <v>0</v>
      </c>
      <c r="K62" s="26" t="s">
        <v>53</v>
      </c>
      <c r="Z62" s="25">
        <f t="shared" si="49"/>
        <v>0</v>
      </c>
      <c r="AB62" s="25">
        <f t="shared" si="50"/>
        <v>0</v>
      </c>
      <c r="AC62" s="25">
        <f t="shared" si="51"/>
        <v>0</v>
      </c>
      <c r="AD62" s="25">
        <f t="shared" si="52"/>
        <v>0</v>
      </c>
      <c r="AE62" s="25">
        <f t="shared" si="53"/>
        <v>0</v>
      </c>
      <c r="AF62" s="25">
        <f t="shared" si="54"/>
        <v>0</v>
      </c>
      <c r="AG62" s="25">
        <f t="shared" si="55"/>
        <v>0</v>
      </c>
      <c r="AH62" s="25">
        <f t="shared" si="56"/>
        <v>0</v>
      </c>
      <c r="AI62" s="11" t="s">
        <v>46</v>
      </c>
      <c r="AJ62" s="25">
        <f t="shared" si="57"/>
        <v>0</v>
      </c>
      <c r="AK62" s="25">
        <f t="shared" si="58"/>
        <v>0</v>
      </c>
      <c r="AL62" s="25">
        <f t="shared" si="59"/>
        <v>0</v>
      </c>
      <c r="AN62" s="25">
        <v>21</v>
      </c>
      <c r="AO62" s="25">
        <f>G62*0.388272282</f>
        <v>0</v>
      </c>
      <c r="AP62" s="25">
        <f>G62*(1-0.388272282)</f>
        <v>0</v>
      </c>
      <c r="AQ62" s="27" t="s">
        <v>49</v>
      </c>
      <c r="AV62" s="25">
        <f t="shared" si="60"/>
        <v>0</v>
      </c>
      <c r="AW62" s="25">
        <f t="shared" si="61"/>
        <v>0</v>
      </c>
      <c r="AX62" s="25">
        <f t="shared" si="62"/>
        <v>0</v>
      </c>
      <c r="AY62" s="27" t="s">
        <v>197</v>
      </c>
      <c r="AZ62" s="27" t="s">
        <v>198</v>
      </c>
      <c r="BA62" s="11" t="s">
        <v>56</v>
      </c>
      <c r="BC62" s="25">
        <f t="shared" si="63"/>
        <v>0</v>
      </c>
      <c r="BD62" s="25">
        <f t="shared" si="64"/>
        <v>0</v>
      </c>
      <c r="BE62" s="25">
        <v>0</v>
      </c>
      <c r="BF62" s="25">
        <f>62</f>
        <v>62</v>
      </c>
      <c r="BH62" s="25">
        <f t="shared" si="65"/>
        <v>0</v>
      </c>
      <c r="BI62" s="25">
        <f t="shared" si="66"/>
        <v>0</v>
      </c>
      <c r="BJ62" s="25">
        <f t="shared" si="67"/>
        <v>0</v>
      </c>
      <c r="BK62" s="27" t="s">
        <v>57</v>
      </c>
      <c r="BL62" s="25">
        <v>41</v>
      </c>
      <c r="BW62" s="25">
        <v>21</v>
      </c>
      <c r="BX62" s="5" t="s">
        <v>207</v>
      </c>
    </row>
    <row r="63" spans="1:76" x14ac:dyDescent="0.25">
      <c r="A63" s="2" t="s">
        <v>208</v>
      </c>
      <c r="B63" s="3" t="s">
        <v>209</v>
      </c>
      <c r="C63" s="93" t="s">
        <v>210</v>
      </c>
      <c r="D63" s="94"/>
      <c r="E63" s="3" t="s">
        <v>93</v>
      </c>
      <c r="F63" s="25">
        <v>85.48</v>
      </c>
      <c r="G63" s="25">
        <v>0</v>
      </c>
      <c r="H63" s="25">
        <f t="shared" si="46"/>
        <v>0</v>
      </c>
      <c r="I63" s="25">
        <f t="shared" si="47"/>
        <v>0</v>
      </c>
      <c r="J63" s="25">
        <f t="shared" si="48"/>
        <v>0</v>
      </c>
      <c r="K63" s="26" t="s">
        <v>53</v>
      </c>
      <c r="Z63" s="25">
        <f t="shared" si="49"/>
        <v>0</v>
      </c>
      <c r="AB63" s="25">
        <f t="shared" si="50"/>
        <v>0</v>
      </c>
      <c r="AC63" s="25">
        <f t="shared" si="51"/>
        <v>0</v>
      </c>
      <c r="AD63" s="25">
        <f t="shared" si="52"/>
        <v>0</v>
      </c>
      <c r="AE63" s="25">
        <f t="shared" si="53"/>
        <v>0</v>
      </c>
      <c r="AF63" s="25">
        <f t="shared" si="54"/>
        <v>0</v>
      </c>
      <c r="AG63" s="25">
        <f t="shared" si="55"/>
        <v>0</v>
      </c>
      <c r="AH63" s="25">
        <f t="shared" si="56"/>
        <v>0</v>
      </c>
      <c r="AI63" s="11" t="s">
        <v>46</v>
      </c>
      <c r="AJ63" s="25">
        <f t="shared" si="57"/>
        <v>0</v>
      </c>
      <c r="AK63" s="25">
        <f t="shared" si="58"/>
        <v>0</v>
      </c>
      <c r="AL63" s="25">
        <f t="shared" si="59"/>
        <v>0</v>
      </c>
      <c r="AN63" s="25">
        <v>21</v>
      </c>
      <c r="AO63" s="25">
        <f>G63*0.421002098</f>
        <v>0</v>
      </c>
      <c r="AP63" s="25">
        <f>G63*(1-0.421002098)</f>
        <v>0</v>
      </c>
      <c r="AQ63" s="27" t="s">
        <v>49</v>
      </c>
      <c r="AV63" s="25">
        <f t="shared" si="60"/>
        <v>0</v>
      </c>
      <c r="AW63" s="25">
        <f t="shared" si="61"/>
        <v>0</v>
      </c>
      <c r="AX63" s="25">
        <f t="shared" si="62"/>
        <v>0</v>
      </c>
      <c r="AY63" s="27" t="s">
        <v>197</v>
      </c>
      <c r="AZ63" s="27" t="s">
        <v>198</v>
      </c>
      <c r="BA63" s="11" t="s">
        <v>56</v>
      </c>
      <c r="BC63" s="25">
        <f t="shared" si="63"/>
        <v>0</v>
      </c>
      <c r="BD63" s="25">
        <f t="shared" si="64"/>
        <v>0</v>
      </c>
      <c r="BE63" s="25">
        <v>0</v>
      </c>
      <c r="BF63" s="25">
        <f>63</f>
        <v>63</v>
      </c>
      <c r="BH63" s="25">
        <f t="shared" si="65"/>
        <v>0</v>
      </c>
      <c r="BI63" s="25">
        <f t="shared" si="66"/>
        <v>0</v>
      </c>
      <c r="BJ63" s="25">
        <f t="shared" si="67"/>
        <v>0</v>
      </c>
      <c r="BK63" s="27" t="s">
        <v>57</v>
      </c>
      <c r="BL63" s="25">
        <v>41</v>
      </c>
      <c r="BW63" s="25">
        <v>21</v>
      </c>
      <c r="BX63" s="5" t="s">
        <v>210</v>
      </c>
    </row>
    <row r="64" spans="1:76" x14ac:dyDescent="0.25">
      <c r="A64" s="2" t="s">
        <v>211</v>
      </c>
      <c r="B64" s="3" t="s">
        <v>212</v>
      </c>
      <c r="C64" s="93" t="s">
        <v>213</v>
      </c>
      <c r="D64" s="94"/>
      <c r="E64" s="3" t="s">
        <v>93</v>
      </c>
      <c r="F64" s="25">
        <v>19.100000000000001</v>
      </c>
      <c r="G64" s="25">
        <v>0</v>
      </c>
      <c r="H64" s="25">
        <f t="shared" si="46"/>
        <v>0</v>
      </c>
      <c r="I64" s="25">
        <f t="shared" si="47"/>
        <v>0</v>
      </c>
      <c r="J64" s="25">
        <f t="shared" si="48"/>
        <v>0</v>
      </c>
      <c r="K64" s="26" t="s">
        <v>53</v>
      </c>
      <c r="Z64" s="25">
        <f t="shared" si="49"/>
        <v>0</v>
      </c>
      <c r="AB64" s="25">
        <f t="shared" si="50"/>
        <v>0</v>
      </c>
      <c r="AC64" s="25">
        <f t="shared" si="51"/>
        <v>0</v>
      </c>
      <c r="AD64" s="25">
        <f t="shared" si="52"/>
        <v>0</v>
      </c>
      <c r="AE64" s="25">
        <f t="shared" si="53"/>
        <v>0</v>
      </c>
      <c r="AF64" s="25">
        <f t="shared" si="54"/>
        <v>0</v>
      </c>
      <c r="AG64" s="25">
        <f t="shared" si="55"/>
        <v>0</v>
      </c>
      <c r="AH64" s="25">
        <f t="shared" si="56"/>
        <v>0</v>
      </c>
      <c r="AI64" s="11" t="s">
        <v>46</v>
      </c>
      <c r="AJ64" s="25">
        <f t="shared" si="57"/>
        <v>0</v>
      </c>
      <c r="AK64" s="25">
        <f t="shared" si="58"/>
        <v>0</v>
      </c>
      <c r="AL64" s="25">
        <f t="shared" si="59"/>
        <v>0</v>
      </c>
      <c r="AN64" s="25">
        <v>21</v>
      </c>
      <c r="AO64" s="25">
        <f>G64*0</f>
        <v>0</v>
      </c>
      <c r="AP64" s="25">
        <f>G64*(1-0)</f>
        <v>0</v>
      </c>
      <c r="AQ64" s="27" t="s">
        <v>49</v>
      </c>
      <c r="AV64" s="25">
        <f t="shared" si="60"/>
        <v>0</v>
      </c>
      <c r="AW64" s="25">
        <f t="shared" si="61"/>
        <v>0</v>
      </c>
      <c r="AX64" s="25">
        <f t="shared" si="62"/>
        <v>0</v>
      </c>
      <c r="AY64" s="27" t="s">
        <v>197</v>
      </c>
      <c r="AZ64" s="27" t="s">
        <v>198</v>
      </c>
      <c r="BA64" s="11" t="s">
        <v>56</v>
      </c>
      <c r="BC64" s="25">
        <f t="shared" si="63"/>
        <v>0</v>
      </c>
      <c r="BD64" s="25">
        <f t="shared" si="64"/>
        <v>0</v>
      </c>
      <c r="BE64" s="25">
        <v>0</v>
      </c>
      <c r="BF64" s="25">
        <f>64</f>
        <v>64</v>
      </c>
      <c r="BH64" s="25">
        <f t="shared" si="65"/>
        <v>0</v>
      </c>
      <c r="BI64" s="25">
        <f t="shared" si="66"/>
        <v>0</v>
      </c>
      <c r="BJ64" s="25">
        <f t="shared" si="67"/>
        <v>0</v>
      </c>
      <c r="BK64" s="27" t="s">
        <v>57</v>
      </c>
      <c r="BL64" s="25">
        <v>41</v>
      </c>
      <c r="BW64" s="25">
        <v>21</v>
      </c>
      <c r="BX64" s="5" t="s">
        <v>213</v>
      </c>
    </row>
    <row r="65" spans="1:76" x14ac:dyDescent="0.25">
      <c r="A65" s="2" t="s">
        <v>214</v>
      </c>
      <c r="B65" s="3" t="s">
        <v>215</v>
      </c>
      <c r="C65" s="93" t="s">
        <v>216</v>
      </c>
      <c r="D65" s="94"/>
      <c r="E65" s="3" t="s">
        <v>93</v>
      </c>
      <c r="F65" s="25">
        <v>46.12</v>
      </c>
      <c r="G65" s="25">
        <v>0</v>
      </c>
      <c r="H65" s="25">
        <f t="shared" si="46"/>
        <v>0</v>
      </c>
      <c r="I65" s="25">
        <f t="shared" si="47"/>
        <v>0</v>
      </c>
      <c r="J65" s="25">
        <f t="shared" si="48"/>
        <v>0</v>
      </c>
      <c r="K65" s="26" t="s">
        <v>53</v>
      </c>
      <c r="Z65" s="25">
        <f t="shared" si="49"/>
        <v>0</v>
      </c>
      <c r="AB65" s="25">
        <f t="shared" si="50"/>
        <v>0</v>
      </c>
      <c r="AC65" s="25">
        <f t="shared" si="51"/>
        <v>0</v>
      </c>
      <c r="AD65" s="25">
        <f t="shared" si="52"/>
        <v>0</v>
      </c>
      <c r="AE65" s="25">
        <f t="shared" si="53"/>
        <v>0</v>
      </c>
      <c r="AF65" s="25">
        <f t="shared" si="54"/>
        <v>0</v>
      </c>
      <c r="AG65" s="25">
        <f t="shared" si="55"/>
        <v>0</v>
      </c>
      <c r="AH65" s="25">
        <f t="shared" si="56"/>
        <v>0</v>
      </c>
      <c r="AI65" s="11" t="s">
        <v>46</v>
      </c>
      <c r="AJ65" s="25">
        <f t="shared" si="57"/>
        <v>0</v>
      </c>
      <c r="AK65" s="25">
        <f t="shared" si="58"/>
        <v>0</v>
      </c>
      <c r="AL65" s="25">
        <f t="shared" si="59"/>
        <v>0</v>
      </c>
      <c r="AN65" s="25">
        <v>21</v>
      </c>
      <c r="AO65" s="25">
        <f>G65*0</f>
        <v>0</v>
      </c>
      <c r="AP65" s="25">
        <f>G65*(1-0)</f>
        <v>0</v>
      </c>
      <c r="AQ65" s="27" t="s">
        <v>49</v>
      </c>
      <c r="AV65" s="25">
        <f t="shared" si="60"/>
        <v>0</v>
      </c>
      <c r="AW65" s="25">
        <f t="shared" si="61"/>
        <v>0</v>
      </c>
      <c r="AX65" s="25">
        <f t="shared" si="62"/>
        <v>0</v>
      </c>
      <c r="AY65" s="27" t="s">
        <v>197</v>
      </c>
      <c r="AZ65" s="27" t="s">
        <v>198</v>
      </c>
      <c r="BA65" s="11" t="s">
        <v>56</v>
      </c>
      <c r="BC65" s="25">
        <f t="shared" si="63"/>
        <v>0</v>
      </c>
      <c r="BD65" s="25">
        <f t="shared" si="64"/>
        <v>0</v>
      </c>
      <c r="BE65" s="25">
        <v>0</v>
      </c>
      <c r="BF65" s="25">
        <f>65</f>
        <v>65</v>
      </c>
      <c r="BH65" s="25">
        <f t="shared" si="65"/>
        <v>0</v>
      </c>
      <c r="BI65" s="25">
        <f t="shared" si="66"/>
        <v>0</v>
      </c>
      <c r="BJ65" s="25">
        <f t="shared" si="67"/>
        <v>0</v>
      </c>
      <c r="BK65" s="27" t="s">
        <v>57</v>
      </c>
      <c r="BL65" s="25">
        <v>41</v>
      </c>
      <c r="BW65" s="25">
        <v>21</v>
      </c>
      <c r="BX65" s="5" t="s">
        <v>216</v>
      </c>
    </row>
    <row r="66" spans="1:76" x14ac:dyDescent="0.25">
      <c r="A66" s="28" t="s">
        <v>46</v>
      </c>
      <c r="B66" s="29" t="s">
        <v>217</v>
      </c>
      <c r="C66" s="150" t="s">
        <v>218</v>
      </c>
      <c r="D66" s="151"/>
      <c r="E66" s="30" t="s">
        <v>4</v>
      </c>
      <c r="F66" s="30" t="s">
        <v>4</v>
      </c>
      <c r="G66" s="30" t="s">
        <v>4</v>
      </c>
      <c r="H66" s="1">
        <f>ROUND(SUM(H67:H78),1)</f>
        <v>0</v>
      </c>
      <c r="I66" s="1">
        <f>ROUND(SUM(I67:I78),1)</f>
        <v>0</v>
      </c>
      <c r="J66" s="1">
        <f>ROUND(SUM(J67:J78),1)</f>
        <v>0</v>
      </c>
      <c r="K66" s="31" t="s">
        <v>46</v>
      </c>
      <c r="AI66" s="11" t="s">
        <v>46</v>
      </c>
      <c r="AS66" s="1">
        <f>SUM(AJ67:AJ78)</f>
        <v>0</v>
      </c>
      <c r="AT66" s="1">
        <f>SUM(AK67:AK78)</f>
        <v>0</v>
      </c>
      <c r="AU66" s="1">
        <f>SUM(AL67:AL78)</f>
        <v>0</v>
      </c>
    </row>
    <row r="67" spans="1:76" x14ac:dyDescent="0.25">
      <c r="A67" s="2" t="s">
        <v>219</v>
      </c>
      <c r="B67" s="3" t="s">
        <v>220</v>
      </c>
      <c r="C67" s="93" t="s">
        <v>221</v>
      </c>
      <c r="D67" s="94"/>
      <c r="E67" s="3" t="s">
        <v>93</v>
      </c>
      <c r="F67" s="25">
        <v>60.886000000000003</v>
      </c>
      <c r="G67" s="25">
        <v>0</v>
      </c>
      <c r="H67" s="25">
        <f t="shared" ref="H67:H78" si="68">ROUND(F67*AO67,2)</f>
        <v>0</v>
      </c>
      <c r="I67" s="25">
        <f t="shared" ref="I67:I78" si="69">ROUND(F67*AP67,2)</f>
        <v>0</v>
      </c>
      <c r="J67" s="25">
        <f t="shared" ref="J67:J78" si="70">ROUND(F67*G67,1)</f>
        <v>0</v>
      </c>
      <c r="K67" s="26" t="s">
        <v>53</v>
      </c>
      <c r="Z67" s="25">
        <f t="shared" ref="Z67:Z78" si="71">ROUND(IF(AQ67="5",BJ67,0),2)</f>
        <v>0</v>
      </c>
      <c r="AB67" s="25">
        <f t="shared" ref="AB67:AB78" si="72">ROUND(IF(AQ67="1",BH67,0),2)</f>
        <v>0</v>
      </c>
      <c r="AC67" s="25">
        <f t="shared" ref="AC67:AC78" si="73">ROUND(IF(AQ67="1",BI67,0),2)</f>
        <v>0</v>
      </c>
      <c r="AD67" s="25">
        <f t="shared" ref="AD67:AD78" si="74">ROUND(IF(AQ67="7",BH67,0),2)</f>
        <v>0</v>
      </c>
      <c r="AE67" s="25">
        <f t="shared" ref="AE67:AE78" si="75">ROUND(IF(AQ67="7",BI67,0),2)</f>
        <v>0</v>
      </c>
      <c r="AF67" s="25">
        <f t="shared" ref="AF67:AF78" si="76">ROUND(IF(AQ67="2",BH67,0),2)</f>
        <v>0</v>
      </c>
      <c r="AG67" s="25">
        <f t="shared" ref="AG67:AG78" si="77">ROUND(IF(AQ67="2",BI67,0),2)</f>
        <v>0</v>
      </c>
      <c r="AH67" s="25">
        <f t="shared" ref="AH67:AH78" si="78">ROUND(IF(AQ67="0",BJ67,0),2)</f>
        <v>0</v>
      </c>
      <c r="AI67" s="11" t="s">
        <v>46</v>
      </c>
      <c r="AJ67" s="25">
        <f t="shared" ref="AJ67:AJ78" si="79">IF(AN67=0,J67,0)</f>
        <v>0</v>
      </c>
      <c r="AK67" s="25">
        <f t="shared" ref="AK67:AK78" si="80">IF(AN67=12,J67,0)</f>
        <v>0</v>
      </c>
      <c r="AL67" s="25">
        <f t="shared" ref="AL67:AL78" si="81">IF(AN67=21,J67,0)</f>
        <v>0</v>
      </c>
      <c r="AN67" s="25">
        <v>21</v>
      </c>
      <c r="AO67" s="25">
        <f>G67*0.132768587</f>
        <v>0</v>
      </c>
      <c r="AP67" s="25">
        <f>G67*(1-0.132768587)</f>
        <v>0</v>
      </c>
      <c r="AQ67" s="27" t="s">
        <v>49</v>
      </c>
      <c r="AV67" s="25">
        <f t="shared" ref="AV67:AV78" si="82">ROUND(AW67+AX67,2)</f>
        <v>0</v>
      </c>
      <c r="AW67" s="25">
        <f t="shared" ref="AW67:AW78" si="83">ROUND(F67*AO67,2)</f>
        <v>0</v>
      </c>
      <c r="AX67" s="25">
        <f t="shared" ref="AX67:AX78" si="84">ROUND(F67*AP67,2)</f>
        <v>0</v>
      </c>
      <c r="AY67" s="27" t="s">
        <v>222</v>
      </c>
      <c r="AZ67" s="27" t="s">
        <v>223</v>
      </c>
      <c r="BA67" s="11" t="s">
        <v>56</v>
      </c>
      <c r="BC67" s="25">
        <f t="shared" ref="BC67:BC78" si="85">AW67+AX67</f>
        <v>0</v>
      </c>
      <c r="BD67" s="25">
        <f t="shared" ref="BD67:BD78" si="86">G67/(100-BE67)*100</f>
        <v>0</v>
      </c>
      <c r="BE67" s="25">
        <v>0</v>
      </c>
      <c r="BF67" s="25">
        <f>67</f>
        <v>67</v>
      </c>
      <c r="BH67" s="25">
        <f t="shared" ref="BH67:BH78" si="87">F67*AO67</f>
        <v>0</v>
      </c>
      <c r="BI67" s="25">
        <f t="shared" ref="BI67:BI78" si="88">F67*AP67</f>
        <v>0</v>
      </c>
      <c r="BJ67" s="25">
        <f t="shared" ref="BJ67:BJ78" si="89">F67*G67</f>
        <v>0</v>
      </c>
      <c r="BK67" s="27" t="s">
        <v>57</v>
      </c>
      <c r="BL67" s="25">
        <v>61</v>
      </c>
      <c r="BW67" s="25">
        <v>21</v>
      </c>
      <c r="BX67" s="5" t="s">
        <v>221</v>
      </c>
    </row>
    <row r="68" spans="1:76" x14ac:dyDescent="0.25">
      <c r="A68" s="2" t="s">
        <v>224</v>
      </c>
      <c r="B68" s="3" t="s">
        <v>225</v>
      </c>
      <c r="C68" s="93" t="s">
        <v>226</v>
      </c>
      <c r="D68" s="94"/>
      <c r="E68" s="3" t="s">
        <v>131</v>
      </c>
      <c r="F68" s="25">
        <v>4.8</v>
      </c>
      <c r="G68" s="25">
        <v>0</v>
      </c>
      <c r="H68" s="25">
        <f t="shared" si="68"/>
        <v>0</v>
      </c>
      <c r="I68" s="25">
        <f t="shared" si="69"/>
        <v>0</v>
      </c>
      <c r="J68" s="25">
        <f t="shared" si="70"/>
        <v>0</v>
      </c>
      <c r="K68" s="26" t="s">
        <v>53</v>
      </c>
      <c r="Z68" s="25">
        <f t="shared" si="71"/>
        <v>0</v>
      </c>
      <c r="AB68" s="25">
        <f t="shared" si="72"/>
        <v>0</v>
      </c>
      <c r="AC68" s="25">
        <f t="shared" si="73"/>
        <v>0</v>
      </c>
      <c r="AD68" s="25">
        <f t="shared" si="74"/>
        <v>0</v>
      </c>
      <c r="AE68" s="25">
        <f t="shared" si="75"/>
        <v>0</v>
      </c>
      <c r="AF68" s="25">
        <f t="shared" si="76"/>
        <v>0</v>
      </c>
      <c r="AG68" s="25">
        <f t="shared" si="77"/>
        <v>0</v>
      </c>
      <c r="AH68" s="25">
        <f t="shared" si="78"/>
        <v>0</v>
      </c>
      <c r="AI68" s="11" t="s">
        <v>46</v>
      </c>
      <c r="AJ68" s="25">
        <f t="shared" si="79"/>
        <v>0</v>
      </c>
      <c r="AK68" s="25">
        <f t="shared" si="80"/>
        <v>0</v>
      </c>
      <c r="AL68" s="25">
        <f t="shared" si="81"/>
        <v>0</v>
      </c>
      <c r="AN68" s="25">
        <v>21</v>
      </c>
      <c r="AO68" s="25">
        <f>G68*0.389787582</f>
        <v>0</v>
      </c>
      <c r="AP68" s="25">
        <f>G68*(1-0.389787582)</f>
        <v>0</v>
      </c>
      <c r="AQ68" s="27" t="s">
        <v>49</v>
      </c>
      <c r="AV68" s="25">
        <f t="shared" si="82"/>
        <v>0</v>
      </c>
      <c r="AW68" s="25">
        <f t="shared" si="83"/>
        <v>0</v>
      </c>
      <c r="AX68" s="25">
        <f t="shared" si="84"/>
        <v>0</v>
      </c>
      <c r="AY68" s="27" t="s">
        <v>222</v>
      </c>
      <c r="AZ68" s="27" t="s">
        <v>223</v>
      </c>
      <c r="BA68" s="11" t="s">
        <v>56</v>
      </c>
      <c r="BC68" s="25">
        <f t="shared" si="85"/>
        <v>0</v>
      </c>
      <c r="BD68" s="25">
        <f t="shared" si="86"/>
        <v>0</v>
      </c>
      <c r="BE68" s="25">
        <v>0</v>
      </c>
      <c r="BF68" s="25">
        <f>68</f>
        <v>68</v>
      </c>
      <c r="BH68" s="25">
        <f t="shared" si="87"/>
        <v>0</v>
      </c>
      <c r="BI68" s="25">
        <f t="shared" si="88"/>
        <v>0</v>
      </c>
      <c r="BJ68" s="25">
        <f t="shared" si="89"/>
        <v>0</v>
      </c>
      <c r="BK68" s="27" t="s">
        <v>57</v>
      </c>
      <c r="BL68" s="25">
        <v>61</v>
      </c>
      <c r="BW68" s="25">
        <v>21</v>
      </c>
      <c r="BX68" s="5" t="s">
        <v>226</v>
      </c>
    </row>
    <row r="69" spans="1:76" x14ac:dyDescent="0.25">
      <c r="A69" s="2" t="s">
        <v>227</v>
      </c>
      <c r="B69" s="3" t="s">
        <v>228</v>
      </c>
      <c r="C69" s="93" t="s">
        <v>229</v>
      </c>
      <c r="D69" s="94"/>
      <c r="E69" s="3" t="s">
        <v>93</v>
      </c>
      <c r="F69" s="25">
        <v>69.174999999999997</v>
      </c>
      <c r="G69" s="25">
        <v>0</v>
      </c>
      <c r="H69" s="25">
        <f t="shared" si="68"/>
        <v>0</v>
      </c>
      <c r="I69" s="25">
        <f t="shared" si="69"/>
        <v>0</v>
      </c>
      <c r="J69" s="25">
        <f t="shared" si="70"/>
        <v>0</v>
      </c>
      <c r="K69" s="26" t="s">
        <v>53</v>
      </c>
      <c r="Z69" s="25">
        <f t="shared" si="71"/>
        <v>0</v>
      </c>
      <c r="AB69" s="25">
        <f t="shared" si="72"/>
        <v>0</v>
      </c>
      <c r="AC69" s="25">
        <f t="shared" si="73"/>
        <v>0</v>
      </c>
      <c r="AD69" s="25">
        <f t="shared" si="74"/>
        <v>0</v>
      </c>
      <c r="AE69" s="25">
        <f t="shared" si="75"/>
        <v>0</v>
      </c>
      <c r="AF69" s="25">
        <f t="shared" si="76"/>
        <v>0</v>
      </c>
      <c r="AG69" s="25">
        <f t="shared" si="77"/>
        <v>0</v>
      </c>
      <c r="AH69" s="25">
        <f t="shared" si="78"/>
        <v>0</v>
      </c>
      <c r="AI69" s="11" t="s">
        <v>46</v>
      </c>
      <c r="AJ69" s="25">
        <f t="shared" si="79"/>
        <v>0</v>
      </c>
      <c r="AK69" s="25">
        <f t="shared" si="80"/>
        <v>0</v>
      </c>
      <c r="AL69" s="25">
        <f t="shared" si="81"/>
        <v>0</v>
      </c>
      <c r="AN69" s="25">
        <v>21</v>
      </c>
      <c r="AO69" s="25">
        <f>G69*0.267962983</f>
        <v>0</v>
      </c>
      <c r="AP69" s="25">
        <f>G69*(1-0.267962983)</f>
        <v>0</v>
      </c>
      <c r="AQ69" s="27" t="s">
        <v>49</v>
      </c>
      <c r="AV69" s="25">
        <f t="shared" si="82"/>
        <v>0</v>
      </c>
      <c r="AW69" s="25">
        <f t="shared" si="83"/>
        <v>0</v>
      </c>
      <c r="AX69" s="25">
        <f t="shared" si="84"/>
        <v>0</v>
      </c>
      <c r="AY69" s="27" t="s">
        <v>222</v>
      </c>
      <c r="AZ69" s="27" t="s">
        <v>223</v>
      </c>
      <c r="BA69" s="11" t="s">
        <v>56</v>
      </c>
      <c r="BC69" s="25">
        <f t="shared" si="85"/>
        <v>0</v>
      </c>
      <c r="BD69" s="25">
        <f t="shared" si="86"/>
        <v>0</v>
      </c>
      <c r="BE69" s="25">
        <v>0</v>
      </c>
      <c r="BF69" s="25">
        <f>69</f>
        <v>69</v>
      </c>
      <c r="BH69" s="25">
        <f t="shared" si="87"/>
        <v>0</v>
      </c>
      <c r="BI69" s="25">
        <f t="shared" si="88"/>
        <v>0</v>
      </c>
      <c r="BJ69" s="25">
        <f t="shared" si="89"/>
        <v>0</v>
      </c>
      <c r="BK69" s="27" t="s">
        <v>57</v>
      </c>
      <c r="BL69" s="25">
        <v>61</v>
      </c>
      <c r="BW69" s="25">
        <v>21</v>
      </c>
      <c r="BX69" s="5" t="s">
        <v>229</v>
      </c>
    </row>
    <row r="70" spans="1:76" x14ac:dyDescent="0.25">
      <c r="A70" s="2" t="s">
        <v>230</v>
      </c>
      <c r="B70" s="3" t="s">
        <v>231</v>
      </c>
      <c r="C70" s="93" t="s">
        <v>232</v>
      </c>
      <c r="D70" s="94"/>
      <c r="E70" s="3" t="s">
        <v>52</v>
      </c>
      <c r="F70" s="25">
        <v>20</v>
      </c>
      <c r="G70" s="25">
        <v>0</v>
      </c>
      <c r="H70" s="25">
        <f t="shared" si="68"/>
        <v>0</v>
      </c>
      <c r="I70" s="25">
        <f t="shared" si="69"/>
        <v>0</v>
      </c>
      <c r="J70" s="25">
        <f t="shared" si="70"/>
        <v>0</v>
      </c>
      <c r="K70" s="26" t="s">
        <v>53</v>
      </c>
      <c r="Z70" s="25">
        <f t="shared" si="71"/>
        <v>0</v>
      </c>
      <c r="AB70" s="25">
        <f t="shared" si="72"/>
        <v>0</v>
      </c>
      <c r="AC70" s="25">
        <f t="shared" si="73"/>
        <v>0</v>
      </c>
      <c r="AD70" s="25">
        <f t="shared" si="74"/>
        <v>0</v>
      </c>
      <c r="AE70" s="25">
        <f t="shared" si="75"/>
        <v>0</v>
      </c>
      <c r="AF70" s="25">
        <f t="shared" si="76"/>
        <v>0</v>
      </c>
      <c r="AG70" s="25">
        <f t="shared" si="77"/>
        <v>0</v>
      </c>
      <c r="AH70" s="25">
        <f t="shared" si="78"/>
        <v>0</v>
      </c>
      <c r="AI70" s="11" t="s">
        <v>46</v>
      </c>
      <c r="AJ70" s="25">
        <f t="shared" si="79"/>
        <v>0</v>
      </c>
      <c r="AK70" s="25">
        <f t="shared" si="80"/>
        <v>0</v>
      </c>
      <c r="AL70" s="25">
        <f t="shared" si="81"/>
        <v>0</v>
      </c>
      <c r="AN70" s="25">
        <v>21</v>
      </c>
      <c r="AO70" s="25">
        <f>G70*0.279101449</f>
        <v>0</v>
      </c>
      <c r="AP70" s="25">
        <f>G70*(1-0.279101449)</f>
        <v>0</v>
      </c>
      <c r="AQ70" s="27" t="s">
        <v>49</v>
      </c>
      <c r="AV70" s="25">
        <f t="shared" si="82"/>
        <v>0</v>
      </c>
      <c r="AW70" s="25">
        <f t="shared" si="83"/>
        <v>0</v>
      </c>
      <c r="AX70" s="25">
        <f t="shared" si="84"/>
        <v>0</v>
      </c>
      <c r="AY70" s="27" t="s">
        <v>222</v>
      </c>
      <c r="AZ70" s="27" t="s">
        <v>223</v>
      </c>
      <c r="BA70" s="11" t="s">
        <v>56</v>
      </c>
      <c r="BC70" s="25">
        <f t="shared" si="85"/>
        <v>0</v>
      </c>
      <c r="BD70" s="25">
        <f t="shared" si="86"/>
        <v>0</v>
      </c>
      <c r="BE70" s="25">
        <v>0</v>
      </c>
      <c r="BF70" s="25">
        <f>70</f>
        <v>70</v>
      </c>
      <c r="BH70" s="25">
        <f t="shared" si="87"/>
        <v>0</v>
      </c>
      <c r="BI70" s="25">
        <f t="shared" si="88"/>
        <v>0</v>
      </c>
      <c r="BJ70" s="25">
        <f t="shared" si="89"/>
        <v>0</v>
      </c>
      <c r="BK70" s="27" t="s">
        <v>57</v>
      </c>
      <c r="BL70" s="25">
        <v>61</v>
      </c>
      <c r="BW70" s="25">
        <v>21</v>
      </c>
      <c r="BX70" s="5" t="s">
        <v>232</v>
      </c>
    </row>
    <row r="71" spans="1:76" x14ac:dyDescent="0.25">
      <c r="A71" s="2" t="s">
        <v>233</v>
      </c>
      <c r="B71" s="3" t="s">
        <v>234</v>
      </c>
      <c r="C71" s="93" t="s">
        <v>235</v>
      </c>
      <c r="D71" s="94"/>
      <c r="E71" s="3" t="s">
        <v>52</v>
      </c>
      <c r="F71" s="25">
        <v>4</v>
      </c>
      <c r="G71" s="25">
        <v>0</v>
      </c>
      <c r="H71" s="25">
        <f t="shared" si="68"/>
        <v>0</v>
      </c>
      <c r="I71" s="25">
        <f t="shared" si="69"/>
        <v>0</v>
      </c>
      <c r="J71" s="25">
        <f t="shared" si="70"/>
        <v>0</v>
      </c>
      <c r="K71" s="26" t="s">
        <v>53</v>
      </c>
      <c r="Z71" s="25">
        <f t="shared" si="71"/>
        <v>0</v>
      </c>
      <c r="AB71" s="25">
        <f t="shared" si="72"/>
        <v>0</v>
      </c>
      <c r="AC71" s="25">
        <f t="shared" si="73"/>
        <v>0</v>
      </c>
      <c r="AD71" s="25">
        <f t="shared" si="74"/>
        <v>0</v>
      </c>
      <c r="AE71" s="25">
        <f t="shared" si="75"/>
        <v>0</v>
      </c>
      <c r="AF71" s="25">
        <f t="shared" si="76"/>
        <v>0</v>
      </c>
      <c r="AG71" s="25">
        <f t="shared" si="77"/>
        <v>0</v>
      </c>
      <c r="AH71" s="25">
        <f t="shared" si="78"/>
        <v>0</v>
      </c>
      <c r="AI71" s="11" t="s">
        <v>46</v>
      </c>
      <c r="AJ71" s="25">
        <f t="shared" si="79"/>
        <v>0</v>
      </c>
      <c r="AK71" s="25">
        <f t="shared" si="80"/>
        <v>0</v>
      </c>
      <c r="AL71" s="25">
        <f t="shared" si="81"/>
        <v>0</v>
      </c>
      <c r="AN71" s="25">
        <v>21</v>
      </c>
      <c r="AO71" s="25">
        <f>G71*0.331580087</f>
        <v>0</v>
      </c>
      <c r="AP71" s="25">
        <f>G71*(1-0.331580087)</f>
        <v>0</v>
      </c>
      <c r="AQ71" s="27" t="s">
        <v>49</v>
      </c>
      <c r="AV71" s="25">
        <f t="shared" si="82"/>
        <v>0</v>
      </c>
      <c r="AW71" s="25">
        <f t="shared" si="83"/>
        <v>0</v>
      </c>
      <c r="AX71" s="25">
        <f t="shared" si="84"/>
        <v>0</v>
      </c>
      <c r="AY71" s="27" t="s">
        <v>222</v>
      </c>
      <c r="AZ71" s="27" t="s">
        <v>223</v>
      </c>
      <c r="BA71" s="11" t="s">
        <v>56</v>
      </c>
      <c r="BC71" s="25">
        <f t="shared" si="85"/>
        <v>0</v>
      </c>
      <c r="BD71" s="25">
        <f t="shared" si="86"/>
        <v>0</v>
      </c>
      <c r="BE71" s="25">
        <v>0</v>
      </c>
      <c r="BF71" s="25">
        <f>71</f>
        <v>71</v>
      </c>
      <c r="BH71" s="25">
        <f t="shared" si="87"/>
        <v>0</v>
      </c>
      <c r="BI71" s="25">
        <f t="shared" si="88"/>
        <v>0</v>
      </c>
      <c r="BJ71" s="25">
        <f t="shared" si="89"/>
        <v>0</v>
      </c>
      <c r="BK71" s="27" t="s">
        <v>57</v>
      </c>
      <c r="BL71" s="25">
        <v>61</v>
      </c>
      <c r="BW71" s="25">
        <v>21</v>
      </c>
      <c r="BX71" s="5" t="s">
        <v>235</v>
      </c>
    </row>
    <row r="72" spans="1:76" ht="25.5" x14ac:dyDescent="0.25">
      <c r="A72" s="2" t="s">
        <v>236</v>
      </c>
      <c r="B72" s="3" t="s">
        <v>237</v>
      </c>
      <c r="C72" s="93" t="s">
        <v>238</v>
      </c>
      <c r="D72" s="94"/>
      <c r="E72" s="3" t="s">
        <v>93</v>
      </c>
      <c r="F72" s="25">
        <v>971.66899999999998</v>
      </c>
      <c r="G72" s="25">
        <v>0</v>
      </c>
      <c r="H72" s="25">
        <f t="shared" si="68"/>
        <v>0</v>
      </c>
      <c r="I72" s="25">
        <f t="shared" si="69"/>
        <v>0</v>
      </c>
      <c r="J72" s="25">
        <f t="shared" si="70"/>
        <v>0</v>
      </c>
      <c r="K72" s="26" t="s">
        <v>53</v>
      </c>
      <c r="Z72" s="25">
        <f t="shared" si="71"/>
        <v>0</v>
      </c>
      <c r="AB72" s="25">
        <f t="shared" si="72"/>
        <v>0</v>
      </c>
      <c r="AC72" s="25">
        <f t="shared" si="73"/>
        <v>0</v>
      </c>
      <c r="AD72" s="25">
        <f t="shared" si="74"/>
        <v>0</v>
      </c>
      <c r="AE72" s="25">
        <f t="shared" si="75"/>
        <v>0</v>
      </c>
      <c r="AF72" s="25">
        <f t="shared" si="76"/>
        <v>0</v>
      </c>
      <c r="AG72" s="25">
        <f t="shared" si="77"/>
        <v>0</v>
      </c>
      <c r="AH72" s="25">
        <f t="shared" si="78"/>
        <v>0</v>
      </c>
      <c r="AI72" s="11" t="s">
        <v>46</v>
      </c>
      <c r="AJ72" s="25">
        <f t="shared" si="79"/>
        <v>0</v>
      </c>
      <c r="AK72" s="25">
        <f t="shared" si="80"/>
        <v>0</v>
      </c>
      <c r="AL72" s="25">
        <f t="shared" si="81"/>
        <v>0</v>
      </c>
      <c r="AN72" s="25">
        <v>21</v>
      </c>
      <c r="AO72" s="25">
        <f>G72*0.195285136</f>
        <v>0</v>
      </c>
      <c r="AP72" s="25">
        <f>G72*(1-0.195285136)</f>
        <v>0</v>
      </c>
      <c r="AQ72" s="27" t="s">
        <v>49</v>
      </c>
      <c r="AV72" s="25">
        <f t="shared" si="82"/>
        <v>0</v>
      </c>
      <c r="AW72" s="25">
        <f t="shared" si="83"/>
        <v>0</v>
      </c>
      <c r="AX72" s="25">
        <f t="shared" si="84"/>
        <v>0</v>
      </c>
      <c r="AY72" s="27" t="s">
        <v>222</v>
      </c>
      <c r="AZ72" s="27" t="s">
        <v>223</v>
      </c>
      <c r="BA72" s="11" t="s">
        <v>56</v>
      </c>
      <c r="BC72" s="25">
        <f t="shared" si="85"/>
        <v>0</v>
      </c>
      <c r="BD72" s="25">
        <f t="shared" si="86"/>
        <v>0</v>
      </c>
      <c r="BE72" s="25">
        <v>0</v>
      </c>
      <c r="BF72" s="25">
        <f>72</f>
        <v>72</v>
      </c>
      <c r="BH72" s="25">
        <f t="shared" si="87"/>
        <v>0</v>
      </c>
      <c r="BI72" s="25">
        <f t="shared" si="88"/>
        <v>0</v>
      </c>
      <c r="BJ72" s="25">
        <f t="shared" si="89"/>
        <v>0</v>
      </c>
      <c r="BK72" s="27" t="s">
        <v>57</v>
      </c>
      <c r="BL72" s="25">
        <v>61</v>
      </c>
      <c r="BW72" s="25">
        <v>21</v>
      </c>
      <c r="BX72" s="5" t="s">
        <v>238</v>
      </c>
    </row>
    <row r="73" spans="1:76" ht="25.5" x14ac:dyDescent="0.25">
      <c r="A73" s="2" t="s">
        <v>239</v>
      </c>
      <c r="B73" s="3" t="s">
        <v>240</v>
      </c>
      <c r="C73" s="93" t="s">
        <v>241</v>
      </c>
      <c r="D73" s="94"/>
      <c r="E73" s="3" t="s">
        <v>93</v>
      </c>
      <c r="F73" s="25">
        <v>30.582000000000001</v>
      </c>
      <c r="G73" s="25">
        <v>0</v>
      </c>
      <c r="H73" s="25">
        <f t="shared" si="68"/>
        <v>0</v>
      </c>
      <c r="I73" s="25">
        <f t="shared" si="69"/>
        <v>0</v>
      </c>
      <c r="J73" s="25">
        <f t="shared" si="70"/>
        <v>0</v>
      </c>
      <c r="K73" s="26" t="s">
        <v>53</v>
      </c>
      <c r="Z73" s="25">
        <f t="shared" si="71"/>
        <v>0</v>
      </c>
      <c r="AB73" s="25">
        <f t="shared" si="72"/>
        <v>0</v>
      </c>
      <c r="AC73" s="25">
        <f t="shared" si="73"/>
        <v>0</v>
      </c>
      <c r="AD73" s="25">
        <f t="shared" si="74"/>
        <v>0</v>
      </c>
      <c r="AE73" s="25">
        <f t="shared" si="75"/>
        <v>0</v>
      </c>
      <c r="AF73" s="25">
        <f t="shared" si="76"/>
        <v>0</v>
      </c>
      <c r="AG73" s="25">
        <f t="shared" si="77"/>
        <v>0</v>
      </c>
      <c r="AH73" s="25">
        <f t="shared" si="78"/>
        <v>0</v>
      </c>
      <c r="AI73" s="11" t="s">
        <v>46</v>
      </c>
      <c r="AJ73" s="25">
        <f t="shared" si="79"/>
        <v>0</v>
      </c>
      <c r="AK73" s="25">
        <f t="shared" si="80"/>
        <v>0</v>
      </c>
      <c r="AL73" s="25">
        <f t="shared" si="81"/>
        <v>0</v>
      </c>
      <c r="AN73" s="25">
        <v>21</v>
      </c>
      <c r="AO73" s="25">
        <f>G73*0.213585487</f>
        <v>0</v>
      </c>
      <c r="AP73" s="25">
        <f>G73*(1-0.213585487)</f>
        <v>0</v>
      </c>
      <c r="AQ73" s="27" t="s">
        <v>49</v>
      </c>
      <c r="AV73" s="25">
        <f t="shared" si="82"/>
        <v>0</v>
      </c>
      <c r="AW73" s="25">
        <f t="shared" si="83"/>
        <v>0</v>
      </c>
      <c r="AX73" s="25">
        <f t="shared" si="84"/>
        <v>0</v>
      </c>
      <c r="AY73" s="27" t="s">
        <v>222</v>
      </c>
      <c r="AZ73" s="27" t="s">
        <v>223</v>
      </c>
      <c r="BA73" s="11" t="s">
        <v>56</v>
      </c>
      <c r="BC73" s="25">
        <f t="shared" si="85"/>
        <v>0</v>
      </c>
      <c r="BD73" s="25">
        <f t="shared" si="86"/>
        <v>0</v>
      </c>
      <c r="BE73" s="25">
        <v>0</v>
      </c>
      <c r="BF73" s="25">
        <f>73</f>
        <v>73</v>
      </c>
      <c r="BH73" s="25">
        <f t="shared" si="87"/>
        <v>0</v>
      </c>
      <c r="BI73" s="25">
        <f t="shared" si="88"/>
        <v>0</v>
      </c>
      <c r="BJ73" s="25">
        <f t="shared" si="89"/>
        <v>0</v>
      </c>
      <c r="BK73" s="27" t="s">
        <v>57</v>
      </c>
      <c r="BL73" s="25">
        <v>61</v>
      </c>
      <c r="BW73" s="25">
        <v>21</v>
      </c>
      <c r="BX73" s="5" t="s">
        <v>241</v>
      </c>
    </row>
    <row r="74" spans="1:76" x14ac:dyDescent="0.25">
      <c r="A74" s="2" t="s">
        <v>242</v>
      </c>
      <c r="B74" s="3" t="s">
        <v>243</v>
      </c>
      <c r="C74" s="93" t="s">
        <v>244</v>
      </c>
      <c r="D74" s="94"/>
      <c r="E74" s="3" t="s">
        <v>93</v>
      </c>
      <c r="F74" s="25">
        <v>1.452</v>
      </c>
      <c r="G74" s="25">
        <v>0</v>
      </c>
      <c r="H74" s="25">
        <f t="shared" si="68"/>
        <v>0</v>
      </c>
      <c r="I74" s="25">
        <f t="shared" si="69"/>
        <v>0</v>
      </c>
      <c r="J74" s="25">
        <f t="shared" si="70"/>
        <v>0</v>
      </c>
      <c r="K74" s="26" t="s">
        <v>53</v>
      </c>
      <c r="Z74" s="25">
        <f t="shared" si="71"/>
        <v>0</v>
      </c>
      <c r="AB74" s="25">
        <f t="shared" si="72"/>
        <v>0</v>
      </c>
      <c r="AC74" s="25">
        <f t="shared" si="73"/>
        <v>0</v>
      </c>
      <c r="AD74" s="25">
        <f t="shared" si="74"/>
        <v>0</v>
      </c>
      <c r="AE74" s="25">
        <f t="shared" si="75"/>
        <v>0</v>
      </c>
      <c r="AF74" s="25">
        <f t="shared" si="76"/>
        <v>0</v>
      </c>
      <c r="AG74" s="25">
        <f t="shared" si="77"/>
        <v>0</v>
      </c>
      <c r="AH74" s="25">
        <f t="shared" si="78"/>
        <v>0</v>
      </c>
      <c r="AI74" s="11" t="s">
        <v>46</v>
      </c>
      <c r="AJ74" s="25">
        <f t="shared" si="79"/>
        <v>0</v>
      </c>
      <c r="AK74" s="25">
        <f t="shared" si="80"/>
        <v>0</v>
      </c>
      <c r="AL74" s="25">
        <f t="shared" si="81"/>
        <v>0</v>
      </c>
      <c r="AN74" s="25">
        <v>21</v>
      </c>
      <c r="AO74" s="25">
        <f>G74*0.283676986</f>
        <v>0</v>
      </c>
      <c r="AP74" s="25">
        <f>G74*(1-0.283676986)</f>
        <v>0</v>
      </c>
      <c r="AQ74" s="27" t="s">
        <v>49</v>
      </c>
      <c r="AV74" s="25">
        <f t="shared" si="82"/>
        <v>0</v>
      </c>
      <c r="AW74" s="25">
        <f t="shared" si="83"/>
        <v>0</v>
      </c>
      <c r="AX74" s="25">
        <f t="shared" si="84"/>
        <v>0</v>
      </c>
      <c r="AY74" s="27" t="s">
        <v>222</v>
      </c>
      <c r="AZ74" s="27" t="s">
        <v>223</v>
      </c>
      <c r="BA74" s="11" t="s">
        <v>56</v>
      </c>
      <c r="BC74" s="25">
        <f t="shared" si="85"/>
        <v>0</v>
      </c>
      <c r="BD74" s="25">
        <f t="shared" si="86"/>
        <v>0</v>
      </c>
      <c r="BE74" s="25">
        <v>0</v>
      </c>
      <c r="BF74" s="25">
        <f>74</f>
        <v>74</v>
      </c>
      <c r="BH74" s="25">
        <f t="shared" si="87"/>
        <v>0</v>
      </c>
      <c r="BI74" s="25">
        <f t="shared" si="88"/>
        <v>0</v>
      </c>
      <c r="BJ74" s="25">
        <f t="shared" si="89"/>
        <v>0</v>
      </c>
      <c r="BK74" s="27" t="s">
        <v>57</v>
      </c>
      <c r="BL74" s="25">
        <v>61</v>
      </c>
      <c r="BW74" s="25">
        <v>21</v>
      </c>
      <c r="BX74" s="5" t="s">
        <v>244</v>
      </c>
    </row>
    <row r="75" spans="1:76" x14ac:dyDescent="0.25">
      <c r="A75" s="2" t="s">
        <v>245</v>
      </c>
      <c r="B75" s="3" t="s">
        <v>246</v>
      </c>
      <c r="C75" s="93" t="s">
        <v>247</v>
      </c>
      <c r="D75" s="94"/>
      <c r="E75" s="3" t="s">
        <v>93</v>
      </c>
      <c r="F75" s="25">
        <v>14.042999999999999</v>
      </c>
      <c r="G75" s="25">
        <v>0</v>
      </c>
      <c r="H75" s="25">
        <f t="shared" si="68"/>
        <v>0</v>
      </c>
      <c r="I75" s="25">
        <f t="shared" si="69"/>
        <v>0</v>
      </c>
      <c r="J75" s="25">
        <f t="shared" si="70"/>
        <v>0</v>
      </c>
      <c r="K75" s="26" t="s">
        <v>53</v>
      </c>
      <c r="Z75" s="25">
        <f t="shared" si="71"/>
        <v>0</v>
      </c>
      <c r="AB75" s="25">
        <f t="shared" si="72"/>
        <v>0</v>
      </c>
      <c r="AC75" s="25">
        <f t="shared" si="73"/>
        <v>0</v>
      </c>
      <c r="AD75" s="25">
        <f t="shared" si="74"/>
        <v>0</v>
      </c>
      <c r="AE75" s="25">
        <f t="shared" si="75"/>
        <v>0</v>
      </c>
      <c r="AF75" s="25">
        <f t="shared" si="76"/>
        <v>0</v>
      </c>
      <c r="AG75" s="25">
        <f t="shared" si="77"/>
        <v>0</v>
      </c>
      <c r="AH75" s="25">
        <f t="shared" si="78"/>
        <v>0</v>
      </c>
      <c r="AI75" s="11" t="s">
        <v>46</v>
      </c>
      <c r="AJ75" s="25">
        <f t="shared" si="79"/>
        <v>0</v>
      </c>
      <c r="AK75" s="25">
        <f t="shared" si="80"/>
        <v>0</v>
      </c>
      <c r="AL75" s="25">
        <f t="shared" si="81"/>
        <v>0</v>
      </c>
      <c r="AN75" s="25">
        <v>21</v>
      </c>
      <c r="AO75" s="25">
        <f>G75*0.091118917</f>
        <v>0</v>
      </c>
      <c r="AP75" s="25">
        <f>G75*(1-0.091118917)</f>
        <v>0</v>
      </c>
      <c r="AQ75" s="27" t="s">
        <v>49</v>
      </c>
      <c r="AV75" s="25">
        <f t="shared" si="82"/>
        <v>0</v>
      </c>
      <c r="AW75" s="25">
        <f t="shared" si="83"/>
        <v>0</v>
      </c>
      <c r="AX75" s="25">
        <f t="shared" si="84"/>
        <v>0</v>
      </c>
      <c r="AY75" s="27" t="s">
        <v>222</v>
      </c>
      <c r="AZ75" s="27" t="s">
        <v>223</v>
      </c>
      <c r="BA75" s="11" t="s">
        <v>56</v>
      </c>
      <c r="BC75" s="25">
        <f t="shared" si="85"/>
        <v>0</v>
      </c>
      <c r="BD75" s="25">
        <f t="shared" si="86"/>
        <v>0</v>
      </c>
      <c r="BE75" s="25">
        <v>0</v>
      </c>
      <c r="BF75" s="25">
        <f>75</f>
        <v>75</v>
      </c>
      <c r="BH75" s="25">
        <f t="shared" si="87"/>
        <v>0</v>
      </c>
      <c r="BI75" s="25">
        <f t="shared" si="88"/>
        <v>0</v>
      </c>
      <c r="BJ75" s="25">
        <f t="shared" si="89"/>
        <v>0</v>
      </c>
      <c r="BK75" s="27" t="s">
        <v>57</v>
      </c>
      <c r="BL75" s="25">
        <v>61</v>
      </c>
      <c r="BW75" s="25">
        <v>21</v>
      </c>
      <c r="BX75" s="5" t="s">
        <v>247</v>
      </c>
    </row>
    <row r="76" spans="1:76" x14ac:dyDescent="0.25">
      <c r="A76" s="2" t="s">
        <v>217</v>
      </c>
      <c r="B76" s="3" t="s">
        <v>248</v>
      </c>
      <c r="C76" s="93" t="s">
        <v>249</v>
      </c>
      <c r="D76" s="94"/>
      <c r="E76" s="3" t="s">
        <v>93</v>
      </c>
      <c r="F76" s="25">
        <v>1168.421</v>
      </c>
      <c r="G76" s="25">
        <v>0</v>
      </c>
      <c r="H76" s="25">
        <f t="shared" si="68"/>
        <v>0</v>
      </c>
      <c r="I76" s="25">
        <f t="shared" si="69"/>
        <v>0</v>
      </c>
      <c r="J76" s="25">
        <f t="shared" si="70"/>
        <v>0</v>
      </c>
      <c r="K76" s="26" t="s">
        <v>53</v>
      </c>
      <c r="Z76" s="25">
        <f t="shared" si="71"/>
        <v>0</v>
      </c>
      <c r="AB76" s="25">
        <f t="shared" si="72"/>
        <v>0</v>
      </c>
      <c r="AC76" s="25">
        <f t="shared" si="73"/>
        <v>0</v>
      </c>
      <c r="AD76" s="25">
        <f t="shared" si="74"/>
        <v>0</v>
      </c>
      <c r="AE76" s="25">
        <f t="shared" si="75"/>
        <v>0</v>
      </c>
      <c r="AF76" s="25">
        <f t="shared" si="76"/>
        <v>0</v>
      </c>
      <c r="AG76" s="25">
        <f t="shared" si="77"/>
        <v>0</v>
      </c>
      <c r="AH76" s="25">
        <f t="shared" si="78"/>
        <v>0</v>
      </c>
      <c r="AI76" s="11" t="s">
        <v>46</v>
      </c>
      <c r="AJ76" s="25">
        <f t="shared" si="79"/>
        <v>0</v>
      </c>
      <c r="AK76" s="25">
        <f t="shared" si="80"/>
        <v>0</v>
      </c>
      <c r="AL76" s="25">
        <f t="shared" si="81"/>
        <v>0</v>
      </c>
      <c r="AN76" s="25">
        <v>21</v>
      </c>
      <c r="AO76" s="25">
        <f>G76*0.350010387</f>
        <v>0</v>
      </c>
      <c r="AP76" s="25">
        <f>G76*(1-0.350010387)</f>
        <v>0</v>
      </c>
      <c r="AQ76" s="27" t="s">
        <v>49</v>
      </c>
      <c r="AV76" s="25">
        <f t="shared" si="82"/>
        <v>0</v>
      </c>
      <c r="AW76" s="25">
        <f t="shared" si="83"/>
        <v>0</v>
      </c>
      <c r="AX76" s="25">
        <f t="shared" si="84"/>
        <v>0</v>
      </c>
      <c r="AY76" s="27" t="s">
        <v>222</v>
      </c>
      <c r="AZ76" s="27" t="s">
        <v>223</v>
      </c>
      <c r="BA76" s="11" t="s">
        <v>56</v>
      </c>
      <c r="BC76" s="25">
        <f t="shared" si="85"/>
        <v>0</v>
      </c>
      <c r="BD76" s="25">
        <f t="shared" si="86"/>
        <v>0</v>
      </c>
      <c r="BE76" s="25">
        <v>0</v>
      </c>
      <c r="BF76" s="25">
        <f>76</f>
        <v>76</v>
      </c>
      <c r="BH76" s="25">
        <f t="shared" si="87"/>
        <v>0</v>
      </c>
      <c r="BI76" s="25">
        <f t="shared" si="88"/>
        <v>0</v>
      </c>
      <c r="BJ76" s="25">
        <f t="shared" si="89"/>
        <v>0</v>
      </c>
      <c r="BK76" s="27" t="s">
        <v>57</v>
      </c>
      <c r="BL76" s="25">
        <v>61</v>
      </c>
      <c r="BW76" s="25">
        <v>21</v>
      </c>
      <c r="BX76" s="5" t="s">
        <v>249</v>
      </c>
    </row>
    <row r="77" spans="1:76" x14ac:dyDescent="0.25">
      <c r="A77" s="2" t="s">
        <v>250</v>
      </c>
      <c r="B77" s="3" t="s">
        <v>251</v>
      </c>
      <c r="C77" s="93" t="s">
        <v>252</v>
      </c>
      <c r="D77" s="94"/>
      <c r="E77" s="3" t="s">
        <v>93</v>
      </c>
      <c r="F77" s="25">
        <v>997.55899999999997</v>
      </c>
      <c r="G77" s="25">
        <v>0</v>
      </c>
      <c r="H77" s="25">
        <f t="shared" si="68"/>
        <v>0</v>
      </c>
      <c r="I77" s="25">
        <f t="shared" si="69"/>
        <v>0</v>
      </c>
      <c r="J77" s="25">
        <f t="shared" si="70"/>
        <v>0</v>
      </c>
      <c r="K77" s="26" t="s">
        <v>53</v>
      </c>
      <c r="Z77" s="25">
        <f t="shared" si="71"/>
        <v>0</v>
      </c>
      <c r="AB77" s="25">
        <f t="shared" si="72"/>
        <v>0</v>
      </c>
      <c r="AC77" s="25">
        <f t="shared" si="73"/>
        <v>0</v>
      </c>
      <c r="AD77" s="25">
        <f t="shared" si="74"/>
        <v>0</v>
      </c>
      <c r="AE77" s="25">
        <f t="shared" si="75"/>
        <v>0</v>
      </c>
      <c r="AF77" s="25">
        <f t="shared" si="76"/>
        <v>0</v>
      </c>
      <c r="AG77" s="25">
        <f t="shared" si="77"/>
        <v>0</v>
      </c>
      <c r="AH77" s="25">
        <f t="shared" si="78"/>
        <v>0</v>
      </c>
      <c r="AI77" s="11" t="s">
        <v>46</v>
      </c>
      <c r="AJ77" s="25">
        <f t="shared" si="79"/>
        <v>0</v>
      </c>
      <c r="AK77" s="25">
        <f t="shared" si="80"/>
        <v>0</v>
      </c>
      <c r="AL77" s="25">
        <f t="shared" si="81"/>
        <v>0</v>
      </c>
      <c r="AN77" s="25">
        <v>21</v>
      </c>
      <c r="AO77" s="25">
        <f>G77*0</f>
        <v>0</v>
      </c>
      <c r="AP77" s="25">
        <f>G77*(1-0)</f>
        <v>0</v>
      </c>
      <c r="AQ77" s="27" t="s">
        <v>49</v>
      </c>
      <c r="AV77" s="25">
        <f t="shared" si="82"/>
        <v>0</v>
      </c>
      <c r="AW77" s="25">
        <f t="shared" si="83"/>
        <v>0</v>
      </c>
      <c r="AX77" s="25">
        <f t="shared" si="84"/>
        <v>0</v>
      </c>
      <c r="AY77" s="27" t="s">
        <v>222</v>
      </c>
      <c r="AZ77" s="27" t="s">
        <v>223</v>
      </c>
      <c r="BA77" s="11" t="s">
        <v>56</v>
      </c>
      <c r="BC77" s="25">
        <f t="shared" si="85"/>
        <v>0</v>
      </c>
      <c r="BD77" s="25">
        <f t="shared" si="86"/>
        <v>0</v>
      </c>
      <c r="BE77" s="25">
        <v>0</v>
      </c>
      <c r="BF77" s="25">
        <f>77</f>
        <v>77</v>
      </c>
      <c r="BH77" s="25">
        <f t="shared" si="87"/>
        <v>0</v>
      </c>
      <c r="BI77" s="25">
        <f t="shared" si="88"/>
        <v>0</v>
      </c>
      <c r="BJ77" s="25">
        <f t="shared" si="89"/>
        <v>0</v>
      </c>
      <c r="BK77" s="27" t="s">
        <v>57</v>
      </c>
      <c r="BL77" s="25">
        <v>61</v>
      </c>
      <c r="BW77" s="25">
        <v>21</v>
      </c>
      <c r="BX77" s="5" t="s">
        <v>252</v>
      </c>
    </row>
    <row r="78" spans="1:76" x14ac:dyDescent="0.25">
      <c r="A78" s="2" t="s">
        <v>253</v>
      </c>
      <c r="B78" s="3" t="s">
        <v>254</v>
      </c>
      <c r="C78" s="93" t="s">
        <v>255</v>
      </c>
      <c r="D78" s="94"/>
      <c r="E78" s="3" t="s">
        <v>93</v>
      </c>
      <c r="F78" s="25">
        <v>5</v>
      </c>
      <c r="G78" s="25">
        <v>0</v>
      </c>
      <c r="H78" s="25">
        <f t="shared" si="68"/>
        <v>0</v>
      </c>
      <c r="I78" s="25">
        <f t="shared" si="69"/>
        <v>0</v>
      </c>
      <c r="J78" s="25">
        <f t="shared" si="70"/>
        <v>0</v>
      </c>
      <c r="K78" s="26" t="s">
        <v>53</v>
      </c>
      <c r="Z78" s="25">
        <f t="shared" si="71"/>
        <v>0</v>
      </c>
      <c r="AB78" s="25">
        <f t="shared" si="72"/>
        <v>0</v>
      </c>
      <c r="AC78" s="25">
        <f t="shared" si="73"/>
        <v>0</v>
      </c>
      <c r="AD78" s="25">
        <f t="shared" si="74"/>
        <v>0</v>
      </c>
      <c r="AE78" s="25">
        <f t="shared" si="75"/>
        <v>0</v>
      </c>
      <c r="AF78" s="25">
        <f t="shared" si="76"/>
        <v>0</v>
      </c>
      <c r="AG78" s="25">
        <f t="shared" si="77"/>
        <v>0</v>
      </c>
      <c r="AH78" s="25">
        <f t="shared" si="78"/>
        <v>0</v>
      </c>
      <c r="AI78" s="11" t="s">
        <v>46</v>
      </c>
      <c r="AJ78" s="25">
        <f t="shared" si="79"/>
        <v>0</v>
      </c>
      <c r="AK78" s="25">
        <f t="shared" si="80"/>
        <v>0</v>
      </c>
      <c r="AL78" s="25">
        <f t="shared" si="81"/>
        <v>0</v>
      </c>
      <c r="AN78" s="25">
        <v>21</v>
      </c>
      <c r="AO78" s="25">
        <f>G78*0.829042553</f>
        <v>0</v>
      </c>
      <c r="AP78" s="25">
        <f>G78*(1-0.829042553)</f>
        <v>0</v>
      </c>
      <c r="AQ78" s="27" t="s">
        <v>49</v>
      </c>
      <c r="AV78" s="25">
        <f t="shared" si="82"/>
        <v>0</v>
      </c>
      <c r="AW78" s="25">
        <f t="shared" si="83"/>
        <v>0</v>
      </c>
      <c r="AX78" s="25">
        <f t="shared" si="84"/>
        <v>0</v>
      </c>
      <c r="AY78" s="27" t="s">
        <v>222</v>
      </c>
      <c r="AZ78" s="27" t="s">
        <v>223</v>
      </c>
      <c r="BA78" s="11" t="s">
        <v>56</v>
      </c>
      <c r="BC78" s="25">
        <f t="shared" si="85"/>
        <v>0</v>
      </c>
      <c r="BD78" s="25">
        <f t="shared" si="86"/>
        <v>0</v>
      </c>
      <c r="BE78" s="25">
        <v>0</v>
      </c>
      <c r="BF78" s="25">
        <f>78</f>
        <v>78</v>
      </c>
      <c r="BH78" s="25">
        <f t="shared" si="87"/>
        <v>0</v>
      </c>
      <c r="BI78" s="25">
        <f t="shared" si="88"/>
        <v>0</v>
      </c>
      <c r="BJ78" s="25">
        <f t="shared" si="89"/>
        <v>0</v>
      </c>
      <c r="BK78" s="27" t="s">
        <v>57</v>
      </c>
      <c r="BL78" s="25">
        <v>61</v>
      </c>
      <c r="BW78" s="25">
        <v>21</v>
      </c>
      <c r="BX78" s="5" t="s">
        <v>255</v>
      </c>
    </row>
    <row r="79" spans="1:76" x14ac:dyDescent="0.25">
      <c r="A79" s="28" t="s">
        <v>46</v>
      </c>
      <c r="B79" s="29" t="s">
        <v>250</v>
      </c>
      <c r="C79" s="150" t="s">
        <v>256</v>
      </c>
      <c r="D79" s="151"/>
      <c r="E79" s="30" t="s">
        <v>4</v>
      </c>
      <c r="F79" s="30" t="s">
        <v>4</v>
      </c>
      <c r="G79" s="30" t="s">
        <v>4</v>
      </c>
      <c r="H79" s="1">
        <f>ROUND(SUM(H80:H82),1)</f>
        <v>0</v>
      </c>
      <c r="I79" s="1">
        <f>ROUND(SUM(I80:I82),1)</f>
        <v>0</v>
      </c>
      <c r="J79" s="1">
        <f>ROUND(SUM(J80:J82),1)</f>
        <v>0</v>
      </c>
      <c r="K79" s="31" t="s">
        <v>46</v>
      </c>
      <c r="AI79" s="11" t="s">
        <v>46</v>
      </c>
      <c r="AS79" s="1">
        <f>SUM(AJ80:AJ82)</f>
        <v>0</v>
      </c>
      <c r="AT79" s="1">
        <f>SUM(AK80:AK82)</f>
        <v>0</v>
      </c>
      <c r="AU79" s="1">
        <f>SUM(AL80:AL82)</f>
        <v>0</v>
      </c>
    </row>
    <row r="80" spans="1:76" x14ac:dyDescent="0.25">
      <c r="A80" s="2" t="s">
        <v>257</v>
      </c>
      <c r="B80" s="3" t="s">
        <v>258</v>
      </c>
      <c r="C80" s="93" t="s">
        <v>259</v>
      </c>
      <c r="D80" s="94"/>
      <c r="E80" s="3" t="s">
        <v>131</v>
      </c>
      <c r="F80" s="25">
        <v>4.8</v>
      </c>
      <c r="G80" s="25">
        <v>0</v>
      </c>
      <c r="H80" s="25">
        <f>ROUND(F80*AO80,2)</f>
        <v>0</v>
      </c>
      <c r="I80" s="25">
        <f>ROUND(F80*AP80,2)</f>
        <v>0</v>
      </c>
      <c r="J80" s="25">
        <f>ROUND(F80*G80,1)</f>
        <v>0</v>
      </c>
      <c r="K80" s="26" t="s">
        <v>53</v>
      </c>
      <c r="Z80" s="25">
        <f>ROUND(IF(AQ80="5",BJ80,0),2)</f>
        <v>0</v>
      </c>
      <c r="AB80" s="25">
        <f>ROUND(IF(AQ80="1",BH80,0),2)</f>
        <v>0</v>
      </c>
      <c r="AC80" s="25">
        <f>ROUND(IF(AQ80="1",BI80,0),2)</f>
        <v>0</v>
      </c>
      <c r="AD80" s="25">
        <f>ROUND(IF(AQ80="7",BH80,0),2)</f>
        <v>0</v>
      </c>
      <c r="AE80" s="25">
        <f>ROUND(IF(AQ80="7",BI80,0),2)</f>
        <v>0</v>
      </c>
      <c r="AF80" s="25">
        <f>ROUND(IF(AQ80="2",BH80,0),2)</f>
        <v>0</v>
      </c>
      <c r="AG80" s="25">
        <f>ROUND(IF(AQ80="2",BI80,0),2)</f>
        <v>0</v>
      </c>
      <c r="AH80" s="25">
        <f>ROUND(IF(AQ80="0",BJ80,0),2)</f>
        <v>0</v>
      </c>
      <c r="AI80" s="11" t="s">
        <v>46</v>
      </c>
      <c r="AJ80" s="25">
        <f>IF(AN80=0,J80,0)</f>
        <v>0</v>
      </c>
      <c r="AK80" s="25">
        <f>IF(AN80=12,J80,0)</f>
        <v>0</v>
      </c>
      <c r="AL80" s="25">
        <f>IF(AN80=21,J80,0)</f>
        <v>0</v>
      </c>
      <c r="AN80" s="25">
        <v>21</v>
      </c>
      <c r="AO80" s="25">
        <f>G80*0.580850522</f>
        <v>0</v>
      </c>
      <c r="AP80" s="25">
        <f>G80*(1-0.580850522)</f>
        <v>0</v>
      </c>
      <c r="AQ80" s="27" t="s">
        <v>49</v>
      </c>
      <c r="AV80" s="25">
        <f>ROUND(AW80+AX80,2)</f>
        <v>0</v>
      </c>
      <c r="AW80" s="25">
        <f>ROUND(F80*AO80,2)</f>
        <v>0</v>
      </c>
      <c r="AX80" s="25">
        <f>ROUND(F80*AP80,2)</f>
        <v>0</v>
      </c>
      <c r="AY80" s="27" t="s">
        <v>260</v>
      </c>
      <c r="AZ80" s="27" t="s">
        <v>223</v>
      </c>
      <c r="BA80" s="11" t="s">
        <v>56</v>
      </c>
      <c r="BC80" s="25">
        <f>AW80+AX80</f>
        <v>0</v>
      </c>
      <c r="BD80" s="25">
        <f>G80/(100-BE80)*100</f>
        <v>0</v>
      </c>
      <c r="BE80" s="25">
        <v>0</v>
      </c>
      <c r="BF80" s="25">
        <f>80</f>
        <v>80</v>
      </c>
      <c r="BH80" s="25">
        <f>F80*AO80</f>
        <v>0</v>
      </c>
      <c r="BI80" s="25">
        <f>F80*AP80</f>
        <v>0</v>
      </c>
      <c r="BJ80" s="25">
        <f>F80*G80</f>
        <v>0</v>
      </c>
      <c r="BK80" s="27" t="s">
        <v>57</v>
      </c>
      <c r="BL80" s="25">
        <v>62</v>
      </c>
      <c r="BW80" s="25">
        <v>21</v>
      </c>
      <c r="BX80" s="5" t="s">
        <v>259</v>
      </c>
    </row>
    <row r="81" spans="1:76" x14ac:dyDescent="0.25">
      <c r="A81" s="2" t="s">
        <v>261</v>
      </c>
      <c r="B81" s="3" t="s">
        <v>262</v>
      </c>
      <c r="C81" s="93" t="s">
        <v>263</v>
      </c>
      <c r="D81" s="94"/>
      <c r="E81" s="3" t="s">
        <v>52</v>
      </c>
      <c r="F81" s="25">
        <v>1</v>
      </c>
      <c r="G81" s="25">
        <v>0</v>
      </c>
      <c r="H81" s="25">
        <f>ROUND(F81*AO81,2)</f>
        <v>0</v>
      </c>
      <c r="I81" s="25">
        <f>ROUND(F81*AP81,2)</f>
        <v>0</v>
      </c>
      <c r="J81" s="25">
        <f>ROUND(F81*G81,1)</f>
        <v>0</v>
      </c>
      <c r="K81" s="26" t="s">
        <v>53</v>
      </c>
      <c r="Z81" s="25">
        <f>ROUND(IF(AQ81="5",BJ81,0),2)</f>
        <v>0</v>
      </c>
      <c r="AB81" s="25">
        <f>ROUND(IF(AQ81="1",BH81,0),2)</f>
        <v>0</v>
      </c>
      <c r="AC81" s="25">
        <f>ROUND(IF(AQ81="1",BI81,0),2)</f>
        <v>0</v>
      </c>
      <c r="AD81" s="25">
        <f>ROUND(IF(AQ81="7",BH81,0),2)</f>
        <v>0</v>
      </c>
      <c r="AE81" s="25">
        <f>ROUND(IF(AQ81="7",BI81,0),2)</f>
        <v>0</v>
      </c>
      <c r="AF81" s="25">
        <f>ROUND(IF(AQ81="2",BH81,0),2)</f>
        <v>0</v>
      </c>
      <c r="AG81" s="25">
        <f>ROUND(IF(AQ81="2",BI81,0),2)</f>
        <v>0</v>
      </c>
      <c r="AH81" s="25">
        <f>ROUND(IF(AQ81="0",BJ81,0),2)</f>
        <v>0</v>
      </c>
      <c r="AI81" s="11" t="s">
        <v>46</v>
      </c>
      <c r="AJ81" s="25">
        <f>IF(AN81=0,J81,0)</f>
        <v>0</v>
      </c>
      <c r="AK81" s="25">
        <f>IF(AN81=12,J81,0)</f>
        <v>0</v>
      </c>
      <c r="AL81" s="25">
        <f>IF(AN81=21,J81,0)</f>
        <v>0</v>
      </c>
      <c r="AN81" s="25">
        <v>21</v>
      </c>
      <c r="AO81" s="25">
        <f>G81*0.135481172</f>
        <v>0</v>
      </c>
      <c r="AP81" s="25">
        <f>G81*(1-0.135481172)</f>
        <v>0</v>
      </c>
      <c r="AQ81" s="27" t="s">
        <v>49</v>
      </c>
      <c r="AV81" s="25">
        <f>ROUND(AW81+AX81,2)</f>
        <v>0</v>
      </c>
      <c r="AW81" s="25">
        <f>ROUND(F81*AO81,2)</f>
        <v>0</v>
      </c>
      <c r="AX81" s="25">
        <f>ROUND(F81*AP81,2)</f>
        <v>0</v>
      </c>
      <c r="AY81" s="27" t="s">
        <v>260</v>
      </c>
      <c r="AZ81" s="27" t="s">
        <v>223</v>
      </c>
      <c r="BA81" s="11" t="s">
        <v>56</v>
      </c>
      <c r="BC81" s="25">
        <f>AW81+AX81</f>
        <v>0</v>
      </c>
      <c r="BD81" s="25">
        <f>G81/(100-BE81)*100</f>
        <v>0</v>
      </c>
      <c r="BE81" s="25">
        <v>0</v>
      </c>
      <c r="BF81" s="25">
        <f>81</f>
        <v>81</v>
      </c>
      <c r="BH81" s="25">
        <f>F81*AO81</f>
        <v>0</v>
      </c>
      <c r="BI81" s="25">
        <f>F81*AP81</f>
        <v>0</v>
      </c>
      <c r="BJ81" s="25">
        <f>F81*G81</f>
        <v>0</v>
      </c>
      <c r="BK81" s="27" t="s">
        <v>57</v>
      </c>
      <c r="BL81" s="25">
        <v>62</v>
      </c>
      <c r="BW81" s="25">
        <v>21</v>
      </c>
      <c r="BX81" s="5" t="s">
        <v>263</v>
      </c>
    </row>
    <row r="82" spans="1:76" x14ac:dyDescent="0.25">
      <c r="A82" s="2" t="s">
        <v>264</v>
      </c>
      <c r="B82" s="3" t="s">
        <v>265</v>
      </c>
      <c r="C82" s="93" t="s">
        <v>266</v>
      </c>
      <c r="D82" s="94"/>
      <c r="E82" s="3" t="s">
        <v>93</v>
      </c>
      <c r="F82" s="25">
        <v>1.2749999999999999</v>
      </c>
      <c r="G82" s="25">
        <v>0</v>
      </c>
      <c r="H82" s="25">
        <f>ROUND(F82*AO82,2)</f>
        <v>0</v>
      </c>
      <c r="I82" s="25">
        <f>ROUND(F82*AP82,2)</f>
        <v>0</v>
      </c>
      <c r="J82" s="25">
        <f>ROUND(F82*G82,1)</f>
        <v>0</v>
      </c>
      <c r="K82" s="26" t="s">
        <v>53</v>
      </c>
      <c r="Z82" s="25">
        <f>ROUND(IF(AQ82="5",BJ82,0),2)</f>
        <v>0</v>
      </c>
      <c r="AB82" s="25">
        <f>ROUND(IF(AQ82="1",BH82,0),2)</f>
        <v>0</v>
      </c>
      <c r="AC82" s="25">
        <f>ROUND(IF(AQ82="1",BI82,0),2)</f>
        <v>0</v>
      </c>
      <c r="AD82" s="25">
        <f>ROUND(IF(AQ82="7",BH82,0),2)</f>
        <v>0</v>
      </c>
      <c r="AE82" s="25">
        <f>ROUND(IF(AQ82="7",BI82,0),2)</f>
        <v>0</v>
      </c>
      <c r="AF82" s="25">
        <f>ROUND(IF(AQ82="2",BH82,0),2)</f>
        <v>0</v>
      </c>
      <c r="AG82" s="25">
        <f>ROUND(IF(AQ82="2",BI82,0),2)</f>
        <v>0</v>
      </c>
      <c r="AH82" s="25">
        <f>ROUND(IF(AQ82="0",BJ82,0),2)</f>
        <v>0</v>
      </c>
      <c r="AI82" s="11" t="s">
        <v>46</v>
      </c>
      <c r="AJ82" s="25">
        <f>IF(AN82=0,J82,0)</f>
        <v>0</v>
      </c>
      <c r="AK82" s="25">
        <f>IF(AN82=12,J82,0)</f>
        <v>0</v>
      </c>
      <c r="AL82" s="25">
        <f>IF(AN82=21,J82,0)</f>
        <v>0</v>
      </c>
      <c r="AN82" s="25">
        <v>21</v>
      </c>
      <c r="AO82" s="25">
        <f>G82*0.088773013</f>
        <v>0</v>
      </c>
      <c r="AP82" s="25">
        <f>G82*(1-0.088773013)</f>
        <v>0</v>
      </c>
      <c r="AQ82" s="27" t="s">
        <v>49</v>
      </c>
      <c r="AV82" s="25">
        <f>ROUND(AW82+AX82,2)</f>
        <v>0</v>
      </c>
      <c r="AW82" s="25">
        <f>ROUND(F82*AO82,2)</f>
        <v>0</v>
      </c>
      <c r="AX82" s="25">
        <f>ROUND(F82*AP82,2)</f>
        <v>0</v>
      </c>
      <c r="AY82" s="27" t="s">
        <v>260</v>
      </c>
      <c r="AZ82" s="27" t="s">
        <v>223</v>
      </c>
      <c r="BA82" s="11" t="s">
        <v>56</v>
      </c>
      <c r="BC82" s="25">
        <f>AW82+AX82</f>
        <v>0</v>
      </c>
      <c r="BD82" s="25">
        <f>G82/(100-BE82)*100</f>
        <v>0</v>
      </c>
      <c r="BE82" s="25">
        <v>0</v>
      </c>
      <c r="BF82" s="25">
        <f>82</f>
        <v>82</v>
      </c>
      <c r="BH82" s="25">
        <f>F82*AO82</f>
        <v>0</v>
      </c>
      <c r="BI82" s="25">
        <f>F82*AP82</f>
        <v>0</v>
      </c>
      <c r="BJ82" s="25">
        <f>F82*G82</f>
        <v>0</v>
      </c>
      <c r="BK82" s="27" t="s">
        <v>57</v>
      </c>
      <c r="BL82" s="25">
        <v>62</v>
      </c>
      <c r="BW82" s="25">
        <v>21</v>
      </c>
      <c r="BX82" s="5" t="s">
        <v>266</v>
      </c>
    </row>
    <row r="83" spans="1:76" x14ac:dyDescent="0.25">
      <c r="A83" s="28" t="s">
        <v>46</v>
      </c>
      <c r="B83" s="29" t="s">
        <v>253</v>
      </c>
      <c r="C83" s="150" t="s">
        <v>267</v>
      </c>
      <c r="D83" s="151"/>
      <c r="E83" s="30" t="s">
        <v>4</v>
      </c>
      <c r="F83" s="30" t="s">
        <v>4</v>
      </c>
      <c r="G83" s="30" t="s">
        <v>4</v>
      </c>
      <c r="H83" s="1">
        <f>ROUND(SUM(H84:H88),1)</f>
        <v>0</v>
      </c>
      <c r="I83" s="1">
        <f>ROUND(SUM(I84:I88),1)</f>
        <v>0</v>
      </c>
      <c r="J83" s="1">
        <f>ROUND(SUM(J84:J88),1)</f>
        <v>0</v>
      </c>
      <c r="K83" s="31" t="s">
        <v>46</v>
      </c>
      <c r="AI83" s="11" t="s">
        <v>46</v>
      </c>
      <c r="AS83" s="1">
        <f>SUM(AJ84:AJ88)</f>
        <v>0</v>
      </c>
      <c r="AT83" s="1">
        <f>SUM(AK84:AK88)</f>
        <v>0</v>
      </c>
      <c r="AU83" s="1">
        <f>SUM(AL84:AL88)</f>
        <v>0</v>
      </c>
    </row>
    <row r="84" spans="1:76" x14ac:dyDescent="0.25">
      <c r="A84" s="2" t="s">
        <v>268</v>
      </c>
      <c r="B84" s="3" t="s">
        <v>269</v>
      </c>
      <c r="C84" s="93" t="s">
        <v>270</v>
      </c>
      <c r="D84" s="94"/>
      <c r="E84" s="3" t="s">
        <v>61</v>
      </c>
      <c r="F84" s="25">
        <v>3.92</v>
      </c>
      <c r="G84" s="25">
        <v>0</v>
      </c>
      <c r="H84" s="25">
        <f>ROUND(F84*AO84,2)</f>
        <v>0</v>
      </c>
      <c r="I84" s="25">
        <f>ROUND(F84*AP84,2)</f>
        <v>0</v>
      </c>
      <c r="J84" s="25">
        <f>ROUND(F84*G84,1)</f>
        <v>0</v>
      </c>
      <c r="K84" s="26" t="s">
        <v>53</v>
      </c>
      <c r="Z84" s="25">
        <f>ROUND(IF(AQ84="5",BJ84,0),2)</f>
        <v>0</v>
      </c>
      <c r="AB84" s="25">
        <f>ROUND(IF(AQ84="1",BH84,0),2)</f>
        <v>0</v>
      </c>
      <c r="AC84" s="25">
        <f>ROUND(IF(AQ84="1",BI84,0),2)</f>
        <v>0</v>
      </c>
      <c r="AD84" s="25">
        <f>ROUND(IF(AQ84="7",BH84,0),2)</f>
        <v>0</v>
      </c>
      <c r="AE84" s="25">
        <f>ROUND(IF(AQ84="7",BI84,0),2)</f>
        <v>0</v>
      </c>
      <c r="AF84" s="25">
        <f>ROUND(IF(AQ84="2",BH84,0),2)</f>
        <v>0</v>
      </c>
      <c r="AG84" s="25">
        <f>ROUND(IF(AQ84="2",BI84,0),2)</f>
        <v>0</v>
      </c>
      <c r="AH84" s="25">
        <f>ROUND(IF(AQ84="0",BJ84,0),2)</f>
        <v>0</v>
      </c>
      <c r="AI84" s="11" t="s">
        <v>46</v>
      </c>
      <c r="AJ84" s="25">
        <f>IF(AN84=0,J84,0)</f>
        <v>0</v>
      </c>
      <c r="AK84" s="25">
        <f>IF(AN84=12,J84,0)</f>
        <v>0</v>
      </c>
      <c r="AL84" s="25">
        <f>IF(AN84=21,J84,0)</f>
        <v>0</v>
      </c>
      <c r="AN84" s="25">
        <v>21</v>
      </c>
      <c r="AO84" s="25">
        <f>G84*0.461513821</f>
        <v>0</v>
      </c>
      <c r="AP84" s="25">
        <f>G84*(1-0.461513821)</f>
        <v>0</v>
      </c>
      <c r="AQ84" s="27" t="s">
        <v>49</v>
      </c>
      <c r="AV84" s="25">
        <f>ROUND(AW84+AX84,2)</f>
        <v>0</v>
      </c>
      <c r="AW84" s="25">
        <f>ROUND(F84*AO84,2)</f>
        <v>0</v>
      </c>
      <c r="AX84" s="25">
        <f>ROUND(F84*AP84,2)</f>
        <v>0</v>
      </c>
      <c r="AY84" s="27" t="s">
        <v>271</v>
      </c>
      <c r="AZ84" s="27" t="s">
        <v>223</v>
      </c>
      <c r="BA84" s="11" t="s">
        <v>56</v>
      </c>
      <c r="BC84" s="25">
        <f>AW84+AX84</f>
        <v>0</v>
      </c>
      <c r="BD84" s="25">
        <f>G84/(100-BE84)*100</f>
        <v>0</v>
      </c>
      <c r="BE84" s="25">
        <v>0</v>
      </c>
      <c r="BF84" s="25">
        <f>84</f>
        <v>84</v>
      </c>
      <c r="BH84" s="25">
        <f>F84*AO84</f>
        <v>0</v>
      </c>
      <c r="BI84" s="25">
        <f>F84*AP84</f>
        <v>0</v>
      </c>
      <c r="BJ84" s="25">
        <f>F84*G84</f>
        <v>0</v>
      </c>
      <c r="BK84" s="27" t="s">
        <v>57</v>
      </c>
      <c r="BL84" s="25">
        <v>63</v>
      </c>
      <c r="BW84" s="25">
        <v>21</v>
      </c>
      <c r="BX84" s="5" t="s">
        <v>270</v>
      </c>
    </row>
    <row r="85" spans="1:76" x14ac:dyDescent="0.25">
      <c r="A85" s="2" t="s">
        <v>272</v>
      </c>
      <c r="B85" s="3" t="s">
        <v>273</v>
      </c>
      <c r="C85" s="93" t="s">
        <v>274</v>
      </c>
      <c r="D85" s="94"/>
      <c r="E85" s="3" t="s">
        <v>71</v>
      </c>
      <c r="F85" s="25">
        <v>0.29399999999999998</v>
      </c>
      <c r="G85" s="25">
        <v>0</v>
      </c>
      <c r="H85" s="25">
        <f>ROUND(F85*AO85,2)</f>
        <v>0</v>
      </c>
      <c r="I85" s="25">
        <f>ROUND(F85*AP85,2)</f>
        <v>0</v>
      </c>
      <c r="J85" s="25">
        <f>ROUND(F85*G85,1)</f>
        <v>0</v>
      </c>
      <c r="K85" s="26" t="s">
        <v>53</v>
      </c>
      <c r="Z85" s="25">
        <f>ROUND(IF(AQ85="5",BJ85,0),2)</f>
        <v>0</v>
      </c>
      <c r="AB85" s="25">
        <f>ROUND(IF(AQ85="1",BH85,0),2)</f>
        <v>0</v>
      </c>
      <c r="AC85" s="25">
        <f>ROUND(IF(AQ85="1",BI85,0),2)</f>
        <v>0</v>
      </c>
      <c r="AD85" s="25">
        <f>ROUND(IF(AQ85="7",BH85,0),2)</f>
        <v>0</v>
      </c>
      <c r="AE85" s="25">
        <f>ROUND(IF(AQ85="7",BI85,0),2)</f>
        <v>0</v>
      </c>
      <c r="AF85" s="25">
        <f>ROUND(IF(AQ85="2",BH85,0),2)</f>
        <v>0</v>
      </c>
      <c r="AG85" s="25">
        <f>ROUND(IF(AQ85="2",BI85,0),2)</f>
        <v>0</v>
      </c>
      <c r="AH85" s="25">
        <f>ROUND(IF(AQ85="0",BJ85,0),2)</f>
        <v>0</v>
      </c>
      <c r="AI85" s="11" t="s">
        <v>46</v>
      </c>
      <c r="AJ85" s="25">
        <f>IF(AN85=0,J85,0)</f>
        <v>0</v>
      </c>
      <c r="AK85" s="25">
        <f>IF(AN85=12,J85,0)</f>
        <v>0</v>
      </c>
      <c r="AL85" s="25">
        <f>IF(AN85=21,J85,0)</f>
        <v>0</v>
      </c>
      <c r="AN85" s="25">
        <v>21</v>
      </c>
      <c r="AO85" s="25">
        <f>G85*0.758056976</f>
        <v>0</v>
      </c>
      <c r="AP85" s="25">
        <f>G85*(1-0.758056976)</f>
        <v>0</v>
      </c>
      <c r="AQ85" s="27" t="s">
        <v>49</v>
      </c>
      <c r="AV85" s="25">
        <f>ROUND(AW85+AX85,2)</f>
        <v>0</v>
      </c>
      <c r="AW85" s="25">
        <f>ROUND(F85*AO85,2)</f>
        <v>0</v>
      </c>
      <c r="AX85" s="25">
        <f>ROUND(F85*AP85,2)</f>
        <v>0</v>
      </c>
      <c r="AY85" s="27" t="s">
        <v>271</v>
      </c>
      <c r="AZ85" s="27" t="s">
        <v>223</v>
      </c>
      <c r="BA85" s="11" t="s">
        <v>56</v>
      </c>
      <c r="BC85" s="25">
        <f>AW85+AX85</f>
        <v>0</v>
      </c>
      <c r="BD85" s="25">
        <f>G85/(100-BE85)*100</f>
        <v>0</v>
      </c>
      <c r="BE85" s="25">
        <v>0</v>
      </c>
      <c r="BF85" s="25">
        <f>85</f>
        <v>85</v>
      </c>
      <c r="BH85" s="25">
        <f>F85*AO85</f>
        <v>0</v>
      </c>
      <c r="BI85" s="25">
        <f>F85*AP85</f>
        <v>0</v>
      </c>
      <c r="BJ85" s="25">
        <f>F85*G85</f>
        <v>0</v>
      </c>
      <c r="BK85" s="27" t="s">
        <v>57</v>
      </c>
      <c r="BL85" s="25">
        <v>63</v>
      </c>
      <c r="BW85" s="25">
        <v>21</v>
      </c>
      <c r="BX85" s="5" t="s">
        <v>274</v>
      </c>
    </row>
    <row r="86" spans="1:76" ht="25.5" x14ac:dyDescent="0.25">
      <c r="A86" s="2" t="s">
        <v>275</v>
      </c>
      <c r="B86" s="3" t="s">
        <v>276</v>
      </c>
      <c r="C86" s="93" t="s">
        <v>277</v>
      </c>
      <c r="D86" s="94"/>
      <c r="E86" s="3" t="s">
        <v>93</v>
      </c>
      <c r="F86" s="25">
        <v>539.34</v>
      </c>
      <c r="G86" s="25">
        <v>0</v>
      </c>
      <c r="H86" s="25">
        <f>ROUND(F86*AO86,2)</f>
        <v>0</v>
      </c>
      <c r="I86" s="25">
        <f>ROUND(F86*AP86,2)</f>
        <v>0</v>
      </c>
      <c r="J86" s="25">
        <f>ROUND(F86*G86,1)</f>
        <v>0</v>
      </c>
      <c r="K86" s="26" t="s">
        <v>53</v>
      </c>
      <c r="Z86" s="25">
        <f>ROUND(IF(AQ86="5",BJ86,0),2)</f>
        <v>0</v>
      </c>
      <c r="AB86" s="25">
        <f>ROUND(IF(AQ86="1",BH86,0),2)</f>
        <v>0</v>
      </c>
      <c r="AC86" s="25">
        <f>ROUND(IF(AQ86="1",BI86,0),2)</f>
        <v>0</v>
      </c>
      <c r="AD86" s="25">
        <f>ROUND(IF(AQ86="7",BH86,0),2)</f>
        <v>0</v>
      </c>
      <c r="AE86" s="25">
        <f>ROUND(IF(AQ86="7",BI86,0),2)</f>
        <v>0</v>
      </c>
      <c r="AF86" s="25">
        <f>ROUND(IF(AQ86="2",BH86,0),2)</f>
        <v>0</v>
      </c>
      <c r="AG86" s="25">
        <f>ROUND(IF(AQ86="2",BI86,0),2)</f>
        <v>0</v>
      </c>
      <c r="AH86" s="25">
        <f>ROUND(IF(AQ86="0",BJ86,0),2)</f>
        <v>0</v>
      </c>
      <c r="AI86" s="11" t="s">
        <v>46</v>
      </c>
      <c r="AJ86" s="25">
        <f>IF(AN86=0,J86,0)</f>
        <v>0</v>
      </c>
      <c r="AK86" s="25">
        <f>IF(AN86=12,J86,0)</f>
        <v>0</v>
      </c>
      <c r="AL86" s="25">
        <f>IF(AN86=21,J86,0)</f>
        <v>0</v>
      </c>
      <c r="AN86" s="25">
        <v>21</v>
      </c>
      <c r="AO86" s="25">
        <f>G86*0.702767965</f>
        <v>0</v>
      </c>
      <c r="AP86" s="25">
        <f>G86*(1-0.702767965)</f>
        <v>0</v>
      </c>
      <c r="AQ86" s="27" t="s">
        <v>49</v>
      </c>
      <c r="AV86" s="25">
        <f>ROUND(AW86+AX86,2)</f>
        <v>0</v>
      </c>
      <c r="AW86" s="25">
        <f>ROUND(F86*AO86,2)</f>
        <v>0</v>
      </c>
      <c r="AX86" s="25">
        <f>ROUND(F86*AP86,2)</f>
        <v>0</v>
      </c>
      <c r="AY86" s="27" t="s">
        <v>271</v>
      </c>
      <c r="AZ86" s="27" t="s">
        <v>223</v>
      </c>
      <c r="BA86" s="11" t="s">
        <v>56</v>
      </c>
      <c r="BC86" s="25">
        <f>AW86+AX86</f>
        <v>0</v>
      </c>
      <c r="BD86" s="25">
        <f>G86/(100-BE86)*100</f>
        <v>0</v>
      </c>
      <c r="BE86" s="25">
        <v>0</v>
      </c>
      <c r="BF86" s="25">
        <f>86</f>
        <v>86</v>
      </c>
      <c r="BH86" s="25">
        <f>F86*AO86</f>
        <v>0</v>
      </c>
      <c r="BI86" s="25">
        <f>F86*AP86</f>
        <v>0</v>
      </c>
      <c r="BJ86" s="25">
        <f>F86*G86</f>
        <v>0</v>
      </c>
      <c r="BK86" s="27" t="s">
        <v>57</v>
      </c>
      <c r="BL86" s="25">
        <v>63</v>
      </c>
      <c r="BW86" s="25">
        <v>21</v>
      </c>
      <c r="BX86" s="5" t="s">
        <v>277</v>
      </c>
    </row>
    <row r="87" spans="1:76" x14ac:dyDescent="0.25">
      <c r="A87" s="2" t="s">
        <v>278</v>
      </c>
      <c r="B87" s="3" t="s">
        <v>279</v>
      </c>
      <c r="C87" s="93" t="s">
        <v>280</v>
      </c>
      <c r="D87" s="94"/>
      <c r="E87" s="3" t="s">
        <v>93</v>
      </c>
      <c r="F87" s="25">
        <v>539.34</v>
      </c>
      <c r="G87" s="25">
        <v>0</v>
      </c>
      <c r="H87" s="25">
        <f>ROUND(F87*AO87,2)</f>
        <v>0</v>
      </c>
      <c r="I87" s="25">
        <f>ROUND(F87*AP87,2)</f>
        <v>0</v>
      </c>
      <c r="J87" s="25">
        <f>ROUND(F87*G87,1)</f>
        <v>0</v>
      </c>
      <c r="K87" s="26" t="s">
        <v>53</v>
      </c>
      <c r="Z87" s="25">
        <f>ROUND(IF(AQ87="5",BJ87,0),2)</f>
        <v>0</v>
      </c>
      <c r="AB87" s="25">
        <f>ROUND(IF(AQ87="1",BH87,0),2)</f>
        <v>0</v>
      </c>
      <c r="AC87" s="25">
        <f>ROUND(IF(AQ87="1",BI87,0),2)</f>
        <v>0</v>
      </c>
      <c r="AD87" s="25">
        <f>ROUND(IF(AQ87="7",BH87,0),2)</f>
        <v>0</v>
      </c>
      <c r="AE87" s="25">
        <f>ROUND(IF(AQ87="7",BI87,0),2)</f>
        <v>0</v>
      </c>
      <c r="AF87" s="25">
        <f>ROUND(IF(AQ87="2",BH87,0),2)</f>
        <v>0</v>
      </c>
      <c r="AG87" s="25">
        <f>ROUND(IF(AQ87="2",BI87,0),2)</f>
        <v>0</v>
      </c>
      <c r="AH87" s="25">
        <f>ROUND(IF(AQ87="0",BJ87,0),2)</f>
        <v>0</v>
      </c>
      <c r="AI87" s="11" t="s">
        <v>46</v>
      </c>
      <c r="AJ87" s="25">
        <f>IF(AN87=0,J87,0)</f>
        <v>0</v>
      </c>
      <c r="AK87" s="25">
        <f>IF(AN87=12,J87,0)</f>
        <v>0</v>
      </c>
      <c r="AL87" s="25">
        <f>IF(AN87=21,J87,0)</f>
        <v>0</v>
      </c>
      <c r="AN87" s="25">
        <v>21</v>
      </c>
      <c r="AO87" s="25">
        <f>G87*0.884903213</f>
        <v>0</v>
      </c>
      <c r="AP87" s="25">
        <f>G87*(1-0.884903213)</f>
        <v>0</v>
      </c>
      <c r="AQ87" s="27" t="s">
        <v>49</v>
      </c>
      <c r="AV87" s="25">
        <f>ROUND(AW87+AX87,2)</f>
        <v>0</v>
      </c>
      <c r="AW87" s="25">
        <f>ROUND(F87*AO87,2)</f>
        <v>0</v>
      </c>
      <c r="AX87" s="25">
        <f>ROUND(F87*AP87,2)</f>
        <v>0</v>
      </c>
      <c r="AY87" s="27" t="s">
        <v>271</v>
      </c>
      <c r="AZ87" s="27" t="s">
        <v>223</v>
      </c>
      <c r="BA87" s="11" t="s">
        <v>56</v>
      </c>
      <c r="BC87" s="25">
        <f>AW87+AX87</f>
        <v>0</v>
      </c>
      <c r="BD87" s="25">
        <f>G87/(100-BE87)*100</f>
        <v>0</v>
      </c>
      <c r="BE87" s="25">
        <v>0</v>
      </c>
      <c r="BF87" s="25">
        <f>87</f>
        <v>87</v>
      </c>
      <c r="BH87" s="25">
        <f>F87*AO87</f>
        <v>0</v>
      </c>
      <c r="BI87" s="25">
        <f>F87*AP87</f>
        <v>0</v>
      </c>
      <c r="BJ87" s="25">
        <f>F87*G87</f>
        <v>0</v>
      </c>
      <c r="BK87" s="27" t="s">
        <v>57</v>
      </c>
      <c r="BL87" s="25">
        <v>63</v>
      </c>
      <c r="BW87" s="25">
        <v>21</v>
      </c>
      <c r="BX87" s="5" t="s">
        <v>280</v>
      </c>
    </row>
    <row r="88" spans="1:76" x14ac:dyDescent="0.25">
      <c r="A88" s="2" t="s">
        <v>281</v>
      </c>
      <c r="B88" s="3" t="s">
        <v>282</v>
      </c>
      <c r="C88" s="93" t="s">
        <v>283</v>
      </c>
      <c r="D88" s="94"/>
      <c r="E88" s="3" t="s">
        <v>93</v>
      </c>
      <c r="F88" s="25">
        <v>539.34</v>
      </c>
      <c r="G88" s="25">
        <v>0</v>
      </c>
      <c r="H88" s="25">
        <f>ROUND(F88*AO88,2)</f>
        <v>0</v>
      </c>
      <c r="I88" s="25">
        <f>ROUND(F88*AP88,2)</f>
        <v>0</v>
      </c>
      <c r="J88" s="25">
        <f>ROUND(F88*G88,1)</f>
        <v>0</v>
      </c>
      <c r="K88" s="26" t="s">
        <v>53</v>
      </c>
      <c r="Z88" s="25">
        <f>ROUND(IF(AQ88="5",BJ88,0),2)</f>
        <v>0</v>
      </c>
      <c r="AB88" s="25">
        <f>ROUND(IF(AQ88="1",BH88,0),2)</f>
        <v>0</v>
      </c>
      <c r="AC88" s="25">
        <f>ROUND(IF(AQ88="1",BI88,0),2)</f>
        <v>0</v>
      </c>
      <c r="AD88" s="25">
        <f>ROUND(IF(AQ88="7",BH88,0),2)</f>
        <v>0</v>
      </c>
      <c r="AE88" s="25">
        <f>ROUND(IF(AQ88="7",BI88,0),2)</f>
        <v>0</v>
      </c>
      <c r="AF88" s="25">
        <f>ROUND(IF(AQ88="2",BH88,0),2)</f>
        <v>0</v>
      </c>
      <c r="AG88" s="25">
        <f>ROUND(IF(AQ88="2",BI88,0),2)</f>
        <v>0</v>
      </c>
      <c r="AH88" s="25">
        <f>ROUND(IF(AQ88="0",BJ88,0),2)</f>
        <v>0</v>
      </c>
      <c r="AI88" s="11" t="s">
        <v>46</v>
      </c>
      <c r="AJ88" s="25">
        <f>IF(AN88=0,J88,0)</f>
        <v>0</v>
      </c>
      <c r="AK88" s="25">
        <f>IF(AN88=12,J88,0)</f>
        <v>0</v>
      </c>
      <c r="AL88" s="25">
        <f>IF(AN88=21,J88,0)</f>
        <v>0</v>
      </c>
      <c r="AN88" s="25">
        <v>21</v>
      </c>
      <c r="AO88" s="25">
        <f>G88*0.566501284</f>
        <v>0</v>
      </c>
      <c r="AP88" s="25">
        <f>G88*(1-0.566501284)</f>
        <v>0</v>
      </c>
      <c r="AQ88" s="27" t="s">
        <v>49</v>
      </c>
      <c r="AV88" s="25">
        <f>ROUND(AW88+AX88,2)</f>
        <v>0</v>
      </c>
      <c r="AW88" s="25">
        <f>ROUND(F88*AO88,2)</f>
        <v>0</v>
      </c>
      <c r="AX88" s="25">
        <f>ROUND(F88*AP88,2)</f>
        <v>0</v>
      </c>
      <c r="AY88" s="27" t="s">
        <v>271</v>
      </c>
      <c r="AZ88" s="27" t="s">
        <v>223</v>
      </c>
      <c r="BA88" s="11" t="s">
        <v>56</v>
      </c>
      <c r="BC88" s="25">
        <f>AW88+AX88</f>
        <v>0</v>
      </c>
      <c r="BD88" s="25">
        <f>G88/(100-BE88)*100</f>
        <v>0</v>
      </c>
      <c r="BE88" s="25">
        <v>0</v>
      </c>
      <c r="BF88" s="25">
        <f>88</f>
        <v>88</v>
      </c>
      <c r="BH88" s="25">
        <f>F88*AO88</f>
        <v>0</v>
      </c>
      <c r="BI88" s="25">
        <f>F88*AP88</f>
        <v>0</v>
      </c>
      <c r="BJ88" s="25">
        <f>F88*G88</f>
        <v>0</v>
      </c>
      <c r="BK88" s="27" t="s">
        <v>57</v>
      </c>
      <c r="BL88" s="25">
        <v>63</v>
      </c>
      <c r="BW88" s="25">
        <v>21</v>
      </c>
      <c r="BX88" s="5" t="s">
        <v>283</v>
      </c>
    </row>
    <row r="89" spans="1:76" x14ac:dyDescent="0.25">
      <c r="A89" s="28" t="s">
        <v>46</v>
      </c>
      <c r="B89" s="29" t="s">
        <v>257</v>
      </c>
      <c r="C89" s="150" t="s">
        <v>284</v>
      </c>
      <c r="D89" s="151"/>
      <c r="E89" s="30" t="s">
        <v>4</v>
      </c>
      <c r="F89" s="30" t="s">
        <v>4</v>
      </c>
      <c r="G89" s="30" t="s">
        <v>4</v>
      </c>
      <c r="H89" s="1">
        <f>ROUND(SUM(H90:H93),1)</f>
        <v>0</v>
      </c>
      <c r="I89" s="1">
        <f>ROUND(SUM(I90:I93),1)</f>
        <v>0</v>
      </c>
      <c r="J89" s="1">
        <f>ROUND(SUM(J90:J93),1)</f>
        <v>0</v>
      </c>
      <c r="K89" s="31" t="s">
        <v>46</v>
      </c>
      <c r="AI89" s="11" t="s">
        <v>46</v>
      </c>
      <c r="AS89" s="1">
        <f>SUM(AJ90:AJ93)</f>
        <v>0</v>
      </c>
      <c r="AT89" s="1">
        <f>SUM(AK90:AK93)</f>
        <v>0</v>
      </c>
      <c r="AU89" s="1">
        <f>SUM(AL90:AL93)</f>
        <v>0</v>
      </c>
    </row>
    <row r="90" spans="1:76" x14ac:dyDescent="0.25">
      <c r="A90" s="2" t="s">
        <v>285</v>
      </c>
      <c r="B90" s="3" t="s">
        <v>286</v>
      </c>
      <c r="C90" s="93" t="s">
        <v>287</v>
      </c>
      <c r="D90" s="94"/>
      <c r="E90" s="3" t="s">
        <v>131</v>
      </c>
      <c r="F90" s="25">
        <v>5.0999999999999996</v>
      </c>
      <c r="G90" s="25">
        <v>0</v>
      </c>
      <c r="H90" s="25">
        <f>ROUND(F90*AO90,2)</f>
        <v>0</v>
      </c>
      <c r="I90" s="25">
        <f>ROUND(F90*AP90,2)</f>
        <v>0</v>
      </c>
      <c r="J90" s="25">
        <f>ROUND(F90*G90,1)</f>
        <v>0</v>
      </c>
      <c r="K90" s="26" t="s">
        <v>53</v>
      </c>
      <c r="Z90" s="25">
        <f>ROUND(IF(AQ90="5",BJ90,0),2)</f>
        <v>0</v>
      </c>
      <c r="AB90" s="25">
        <f>ROUND(IF(AQ90="1",BH90,0),2)</f>
        <v>0</v>
      </c>
      <c r="AC90" s="25">
        <f>ROUND(IF(AQ90="1",BI90,0),2)</f>
        <v>0</v>
      </c>
      <c r="AD90" s="25">
        <f>ROUND(IF(AQ90="7",BH90,0),2)</f>
        <v>0</v>
      </c>
      <c r="AE90" s="25">
        <f>ROUND(IF(AQ90="7",BI90,0),2)</f>
        <v>0</v>
      </c>
      <c r="AF90" s="25">
        <f>ROUND(IF(AQ90="2",BH90,0),2)</f>
        <v>0</v>
      </c>
      <c r="AG90" s="25">
        <f>ROUND(IF(AQ90="2",BI90,0),2)</f>
        <v>0</v>
      </c>
      <c r="AH90" s="25">
        <f>ROUND(IF(AQ90="0",BJ90,0),2)</f>
        <v>0</v>
      </c>
      <c r="AI90" s="11" t="s">
        <v>46</v>
      </c>
      <c r="AJ90" s="25">
        <f>IF(AN90=0,J90,0)</f>
        <v>0</v>
      </c>
      <c r="AK90" s="25">
        <f>IF(AN90=12,J90,0)</f>
        <v>0</v>
      </c>
      <c r="AL90" s="25">
        <f>IF(AN90=21,J90,0)</f>
        <v>0</v>
      </c>
      <c r="AN90" s="25">
        <v>21</v>
      </c>
      <c r="AO90" s="25">
        <f>G90*0.034839727</f>
        <v>0</v>
      </c>
      <c r="AP90" s="25">
        <f>G90*(1-0.034839727)</f>
        <v>0</v>
      </c>
      <c r="AQ90" s="27" t="s">
        <v>49</v>
      </c>
      <c r="AV90" s="25">
        <f>ROUND(AW90+AX90,2)</f>
        <v>0</v>
      </c>
      <c r="AW90" s="25">
        <f>ROUND(F90*AO90,2)</f>
        <v>0</v>
      </c>
      <c r="AX90" s="25">
        <f>ROUND(F90*AP90,2)</f>
        <v>0</v>
      </c>
      <c r="AY90" s="27" t="s">
        <v>288</v>
      </c>
      <c r="AZ90" s="27" t="s">
        <v>223</v>
      </c>
      <c r="BA90" s="11" t="s">
        <v>56</v>
      </c>
      <c r="BC90" s="25">
        <f>AW90+AX90</f>
        <v>0</v>
      </c>
      <c r="BD90" s="25">
        <f>G90/(100-BE90)*100</f>
        <v>0</v>
      </c>
      <c r="BE90" s="25">
        <v>0</v>
      </c>
      <c r="BF90" s="25">
        <f>90</f>
        <v>90</v>
      </c>
      <c r="BH90" s="25">
        <f>F90*AO90</f>
        <v>0</v>
      </c>
      <c r="BI90" s="25">
        <f>F90*AP90</f>
        <v>0</v>
      </c>
      <c r="BJ90" s="25">
        <f>F90*G90</f>
        <v>0</v>
      </c>
      <c r="BK90" s="27" t="s">
        <v>57</v>
      </c>
      <c r="BL90" s="25">
        <v>64</v>
      </c>
      <c r="BW90" s="25">
        <v>21</v>
      </c>
      <c r="BX90" s="5" t="s">
        <v>287</v>
      </c>
    </row>
    <row r="91" spans="1:76" x14ac:dyDescent="0.25">
      <c r="A91" s="2" t="s">
        <v>289</v>
      </c>
      <c r="B91" s="3" t="s">
        <v>290</v>
      </c>
      <c r="C91" s="93" t="s">
        <v>291</v>
      </c>
      <c r="D91" s="94"/>
      <c r="E91" s="3" t="s">
        <v>131</v>
      </c>
      <c r="F91" s="25">
        <v>1.5</v>
      </c>
      <c r="G91" s="25">
        <v>0</v>
      </c>
      <c r="H91" s="25">
        <f>ROUND(F91*AO91,2)</f>
        <v>0</v>
      </c>
      <c r="I91" s="25">
        <f>ROUND(F91*AP91,2)</f>
        <v>0</v>
      </c>
      <c r="J91" s="25">
        <f>ROUND(F91*G91,1)</f>
        <v>0</v>
      </c>
      <c r="K91" s="26" t="s">
        <v>53</v>
      </c>
      <c r="Z91" s="25">
        <f>ROUND(IF(AQ91="5",BJ91,0),2)</f>
        <v>0</v>
      </c>
      <c r="AB91" s="25">
        <f>ROUND(IF(AQ91="1",BH91,0),2)</f>
        <v>0</v>
      </c>
      <c r="AC91" s="25">
        <f>ROUND(IF(AQ91="1",BI91,0),2)</f>
        <v>0</v>
      </c>
      <c r="AD91" s="25">
        <f>ROUND(IF(AQ91="7",BH91,0),2)</f>
        <v>0</v>
      </c>
      <c r="AE91" s="25">
        <f>ROUND(IF(AQ91="7",BI91,0),2)</f>
        <v>0</v>
      </c>
      <c r="AF91" s="25">
        <f>ROUND(IF(AQ91="2",BH91,0),2)</f>
        <v>0</v>
      </c>
      <c r="AG91" s="25">
        <f>ROUND(IF(AQ91="2",BI91,0),2)</f>
        <v>0</v>
      </c>
      <c r="AH91" s="25">
        <f>ROUND(IF(AQ91="0",BJ91,0),2)</f>
        <v>0</v>
      </c>
      <c r="AI91" s="11" t="s">
        <v>46</v>
      </c>
      <c r="AJ91" s="25">
        <f>IF(AN91=0,J91,0)</f>
        <v>0</v>
      </c>
      <c r="AK91" s="25">
        <f>IF(AN91=12,J91,0)</f>
        <v>0</v>
      </c>
      <c r="AL91" s="25">
        <f>IF(AN91=21,J91,0)</f>
        <v>0</v>
      </c>
      <c r="AN91" s="25">
        <v>21</v>
      </c>
      <c r="AO91" s="25">
        <f>G91*1</f>
        <v>0</v>
      </c>
      <c r="AP91" s="25">
        <f>G91*(1-1)</f>
        <v>0</v>
      </c>
      <c r="AQ91" s="27" t="s">
        <v>49</v>
      </c>
      <c r="AV91" s="25">
        <f>ROUND(AW91+AX91,2)</f>
        <v>0</v>
      </c>
      <c r="AW91" s="25">
        <f>ROUND(F91*AO91,2)</f>
        <v>0</v>
      </c>
      <c r="AX91" s="25">
        <f>ROUND(F91*AP91,2)</f>
        <v>0</v>
      </c>
      <c r="AY91" s="27" t="s">
        <v>288</v>
      </c>
      <c r="AZ91" s="27" t="s">
        <v>223</v>
      </c>
      <c r="BA91" s="11" t="s">
        <v>56</v>
      </c>
      <c r="BC91" s="25">
        <f>AW91+AX91</f>
        <v>0</v>
      </c>
      <c r="BD91" s="25">
        <f>G91/(100-BE91)*100</f>
        <v>0</v>
      </c>
      <c r="BE91" s="25">
        <v>0</v>
      </c>
      <c r="BF91" s="25">
        <f>91</f>
        <v>91</v>
      </c>
      <c r="BH91" s="25">
        <f>F91*AO91</f>
        <v>0</v>
      </c>
      <c r="BI91" s="25">
        <f>F91*AP91</f>
        <v>0</v>
      </c>
      <c r="BJ91" s="25">
        <f>F91*G91</f>
        <v>0</v>
      </c>
      <c r="BK91" s="27" t="s">
        <v>75</v>
      </c>
      <c r="BL91" s="25">
        <v>64</v>
      </c>
      <c r="BW91" s="25">
        <v>21</v>
      </c>
      <c r="BX91" s="5" t="s">
        <v>291</v>
      </c>
    </row>
    <row r="92" spans="1:76" x14ac:dyDescent="0.25">
      <c r="A92" s="2" t="s">
        <v>292</v>
      </c>
      <c r="B92" s="3" t="s">
        <v>293</v>
      </c>
      <c r="C92" s="93" t="s">
        <v>294</v>
      </c>
      <c r="D92" s="94"/>
      <c r="E92" s="3" t="s">
        <v>131</v>
      </c>
      <c r="F92" s="25">
        <v>3.6</v>
      </c>
      <c r="G92" s="25">
        <v>0</v>
      </c>
      <c r="H92" s="25">
        <f>ROUND(F92*AO92,2)</f>
        <v>0</v>
      </c>
      <c r="I92" s="25">
        <f>ROUND(F92*AP92,2)</f>
        <v>0</v>
      </c>
      <c r="J92" s="25">
        <f>ROUND(F92*G92,1)</f>
        <v>0</v>
      </c>
      <c r="K92" s="26" t="s">
        <v>53</v>
      </c>
      <c r="Z92" s="25">
        <f>ROUND(IF(AQ92="5",BJ92,0),2)</f>
        <v>0</v>
      </c>
      <c r="AB92" s="25">
        <f>ROUND(IF(AQ92="1",BH92,0),2)</f>
        <v>0</v>
      </c>
      <c r="AC92" s="25">
        <f>ROUND(IF(AQ92="1",BI92,0),2)</f>
        <v>0</v>
      </c>
      <c r="AD92" s="25">
        <f>ROUND(IF(AQ92="7",BH92,0),2)</f>
        <v>0</v>
      </c>
      <c r="AE92" s="25">
        <f>ROUND(IF(AQ92="7",BI92,0),2)</f>
        <v>0</v>
      </c>
      <c r="AF92" s="25">
        <f>ROUND(IF(AQ92="2",BH92,0),2)</f>
        <v>0</v>
      </c>
      <c r="AG92" s="25">
        <f>ROUND(IF(AQ92="2",BI92,0),2)</f>
        <v>0</v>
      </c>
      <c r="AH92" s="25">
        <f>ROUND(IF(AQ92="0",BJ92,0),2)</f>
        <v>0</v>
      </c>
      <c r="AI92" s="11" t="s">
        <v>46</v>
      </c>
      <c r="AJ92" s="25">
        <f>IF(AN92=0,J92,0)</f>
        <v>0</v>
      </c>
      <c r="AK92" s="25">
        <f>IF(AN92=12,J92,0)</f>
        <v>0</v>
      </c>
      <c r="AL92" s="25">
        <f>IF(AN92=21,J92,0)</f>
        <v>0</v>
      </c>
      <c r="AN92" s="25">
        <v>21</v>
      </c>
      <c r="AO92" s="25">
        <f>G92*1</f>
        <v>0</v>
      </c>
      <c r="AP92" s="25">
        <f>G92*(1-1)</f>
        <v>0</v>
      </c>
      <c r="AQ92" s="27" t="s">
        <v>49</v>
      </c>
      <c r="AV92" s="25">
        <f>ROUND(AW92+AX92,2)</f>
        <v>0</v>
      </c>
      <c r="AW92" s="25">
        <f>ROUND(F92*AO92,2)</f>
        <v>0</v>
      </c>
      <c r="AX92" s="25">
        <f>ROUND(F92*AP92,2)</f>
        <v>0</v>
      </c>
      <c r="AY92" s="27" t="s">
        <v>288</v>
      </c>
      <c r="AZ92" s="27" t="s">
        <v>223</v>
      </c>
      <c r="BA92" s="11" t="s">
        <v>56</v>
      </c>
      <c r="BC92" s="25">
        <f>AW92+AX92</f>
        <v>0</v>
      </c>
      <c r="BD92" s="25">
        <f>G92/(100-BE92)*100</f>
        <v>0</v>
      </c>
      <c r="BE92" s="25">
        <v>0</v>
      </c>
      <c r="BF92" s="25">
        <f>92</f>
        <v>92</v>
      </c>
      <c r="BH92" s="25">
        <f>F92*AO92</f>
        <v>0</v>
      </c>
      <c r="BI92" s="25">
        <f>F92*AP92</f>
        <v>0</v>
      </c>
      <c r="BJ92" s="25">
        <f>F92*G92</f>
        <v>0</v>
      </c>
      <c r="BK92" s="27" t="s">
        <v>75</v>
      </c>
      <c r="BL92" s="25">
        <v>64</v>
      </c>
      <c r="BW92" s="25">
        <v>21</v>
      </c>
      <c r="BX92" s="5" t="s">
        <v>294</v>
      </c>
    </row>
    <row r="93" spans="1:76" x14ac:dyDescent="0.25">
      <c r="A93" s="2" t="s">
        <v>295</v>
      </c>
      <c r="B93" s="3" t="s">
        <v>296</v>
      </c>
      <c r="C93" s="93" t="s">
        <v>297</v>
      </c>
      <c r="D93" s="94"/>
      <c r="E93" s="3" t="s">
        <v>52</v>
      </c>
      <c r="F93" s="25">
        <v>8</v>
      </c>
      <c r="G93" s="25">
        <v>0</v>
      </c>
      <c r="H93" s="25">
        <f>ROUND(F93*AO93,2)</f>
        <v>0</v>
      </c>
      <c r="I93" s="25">
        <f>ROUND(F93*AP93,2)</f>
        <v>0</v>
      </c>
      <c r="J93" s="25">
        <f>ROUND(F93*G93,1)</f>
        <v>0</v>
      </c>
      <c r="K93" s="26" t="s">
        <v>53</v>
      </c>
      <c r="Z93" s="25">
        <f>ROUND(IF(AQ93="5",BJ93,0),2)</f>
        <v>0</v>
      </c>
      <c r="AB93" s="25">
        <f>ROUND(IF(AQ93="1",BH93,0),2)</f>
        <v>0</v>
      </c>
      <c r="AC93" s="25">
        <f>ROUND(IF(AQ93="1",BI93,0),2)</f>
        <v>0</v>
      </c>
      <c r="AD93" s="25">
        <f>ROUND(IF(AQ93="7",BH93,0),2)</f>
        <v>0</v>
      </c>
      <c r="AE93" s="25">
        <f>ROUND(IF(AQ93="7",BI93,0),2)</f>
        <v>0</v>
      </c>
      <c r="AF93" s="25">
        <f>ROUND(IF(AQ93="2",BH93,0),2)</f>
        <v>0</v>
      </c>
      <c r="AG93" s="25">
        <f>ROUND(IF(AQ93="2",BI93,0),2)</f>
        <v>0</v>
      </c>
      <c r="AH93" s="25">
        <f>ROUND(IF(AQ93="0",BJ93,0),2)</f>
        <v>0</v>
      </c>
      <c r="AI93" s="11" t="s">
        <v>46</v>
      </c>
      <c r="AJ93" s="25">
        <f>IF(AN93=0,J93,0)</f>
        <v>0</v>
      </c>
      <c r="AK93" s="25">
        <f>IF(AN93=12,J93,0)</f>
        <v>0</v>
      </c>
      <c r="AL93" s="25">
        <f>IF(AN93=21,J93,0)</f>
        <v>0</v>
      </c>
      <c r="AN93" s="25">
        <v>21</v>
      </c>
      <c r="AO93" s="25">
        <f>G93*1</f>
        <v>0</v>
      </c>
      <c r="AP93" s="25">
        <f>G93*(1-1)</f>
        <v>0</v>
      </c>
      <c r="AQ93" s="27" t="s">
        <v>49</v>
      </c>
      <c r="AV93" s="25">
        <f>ROUND(AW93+AX93,2)</f>
        <v>0</v>
      </c>
      <c r="AW93" s="25">
        <f>ROUND(F93*AO93,2)</f>
        <v>0</v>
      </c>
      <c r="AX93" s="25">
        <f>ROUND(F93*AP93,2)</f>
        <v>0</v>
      </c>
      <c r="AY93" s="27" t="s">
        <v>288</v>
      </c>
      <c r="AZ93" s="27" t="s">
        <v>223</v>
      </c>
      <c r="BA93" s="11" t="s">
        <v>56</v>
      </c>
      <c r="BC93" s="25">
        <f>AW93+AX93</f>
        <v>0</v>
      </c>
      <c r="BD93" s="25">
        <f>G93/(100-BE93)*100</f>
        <v>0</v>
      </c>
      <c r="BE93" s="25">
        <v>0</v>
      </c>
      <c r="BF93" s="25">
        <f>93</f>
        <v>93</v>
      </c>
      <c r="BH93" s="25">
        <f>F93*AO93</f>
        <v>0</v>
      </c>
      <c r="BI93" s="25">
        <f>F93*AP93</f>
        <v>0</v>
      </c>
      <c r="BJ93" s="25">
        <f>F93*G93</f>
        <v>0</v>
      </c>
      <c r="BK93" s="27" t="s">
        <v>75</v>
      </c>
      <c r="BL93" s="25">
        <v>64</v>
      </c>
      <c r="BW93" s="25">
        <v>21</v>
      </c>
      <c r="BX93" s="5" t="s">
        <v>297</v>
      </c>
    </row>
    <row r="94" spans="1:76" x14ac:dyDescent="0.25">
      <c r="A94" s="28" t="s">
        <v>46</v>
      </c>
      <c r="B94" s="29" t="s">
        <v>298</v>
      </c>
      <c r="C94" s="150" t="s">
        <v>299</v>
      </c>
      <c r="D94" s="151"/>
      <c r="E94" s="30" t="s">
        <v>4</v>
      </c>
      <c r="F94" s="30" t="s">
        <v>4</v>
      </c>
      <c r="G94" s="30" t="s">
        <v>4</v>
      </c>
      <c r="H94" s="1">
        <f>ROUND(SUM(H95:H99),1)</f>
        <v>0</v>
      </c>
      <c r="I94" s="1">
        <f>ROUND(SUM(I95:I99),1)</f>
        <v>0</v>
      </c>
      <c r="J94" s="1">
        <f>ROUND(SUM(J95:J99),1)</f>
        <v>0</v>
      </c>
      <c r="K94" s="31" t="s">
        <v>46</v>
      </c>
      <c r="AI94" s="11" t="s">
        <v>46</v>
      </c>
      <c r="AS94" s="1">
        <f>SUM(AJ95:AJ99)</f>
        <v>0</v>
      </c>
      <c r="AT94" s="1">
        <f>SUM(AK95:AK99)</f>
        <v>0</v>
      </c>
      <c r="AU94" s="1">
        <f>SUM(AL95:AL99)</f>
        <v>0</v>
      </c>
    </row>
    <row r="95" spans="1:76" x14ac:dyDescent="0.25">
      <c r="A95" s="2" t="s">
        <v>300</v>
      </c>
      <c r="B95" s="3" t="s">
        <v>301</v>
      </c>
      <c r="C95" s="93" t="s">
        <v>302</v>
      </c>
      <c r="D95" s="94"/>
      <c r="E95" s="3" t="s">
        <v>303</v>
      </c>
      <c r="F95" s="25">
        <v>100</v>
      </c>
      <c r="G95" s="25">
        <v>0</v>
      </c>
      <c r="H95" s="25">
        <f>ROUND(F95*AO95,2)</f>
        <v>0</v>
      </c>
      <c r="I95" s="25">
        <f>ROUND(F95*AP95,2)</f>
        <v>0</v>
      </c>
      <c r="J95" s="25">
        <f>ROUND(F95*G95,1)</f>
        <v>0</v>
      </c>
      <c r="K95" s="26" t="s">
        <v>53</v>
      </c>
      <c r="Z95" s="25">
        <f>ROUND(IF(AQ95="5",BJ95,0),2)</f>
        <v>0</v>
      </c>
      <c r="AB95" s="25">
        <f>ROUND(IF(AQ95="1",BH95,0),2)</f>
        <v>0</v>
      </c>
      <c r="AC95" s="25">
        <f>ROUND(IF(AQ95="1",BI95,0),2)</f>
        <v>0</v>
      </c>
      <c r="AD95" s="25">
        <f>ROUND(IF(AQ95="7",BH95,0),2)</f>
        <v>0</v>
      </c>
      <c r="AE95" s="25">
        <f>ROUND(IF(AQ95="7",BI95,0),2)</f>
        <v>0</v>
      </c>
      <c r="AF95" s="25">
        <f>ROUND(IF(AQ95="2",BH95,0),2)</f>
        <v>0</v>
      </c>
      <c r="AG95" s="25">
        <f>ROUND(IF(AQ95="2",BI95,0),2)</f>
        <v>0</v>
      </c>
      <c r="AH95" s="25">
        <f>ROUND(IF(AQ95="0",BJ95,0),2)</f>
        <v>0</v>
      </c>
      <c r="AI95" s="11" t="s">
        <v>46</v>
      </c>
      <c r="AJ95" s="25">
        <f>IF(AN95=0,J95,0)</f>
        <v>0</v>
      </c>
      <c r="AK95" s="25">
        <f>IF(AN95=12,J95,0)</f>
        <v>0</v>
      </c>
      <c r="AL95" s="25">
        <f>IF(AN95=21,J95,0)</f>
        <v>0</v>
      </c>
      <c r="AN95" s="25">
        <v>21</v>
      </c>
      <c r="AO95" s="25">
        <f>G95*0</f>
        <v>0</v>
      </c>
      <c r="AP95" s="25">
        <f>G95*(1-0)</f>
        <v>0</v>
      </c>
      <c r="AQ95" s="27" t="s">
        <v>49</v>
      </c>
      <c r="AV95" s="25">
        <f>ROUND(AW95+AX95,2)</f>
        <v>0</v>
      </c>
      <c r="AW95" s="25">
        <f>ROUND(F95*AO95,2)</f>
        <v>0</v>
      </c>
      <c r="AX95" s="25">
        <f>ROUND(F95*AP95,2)</f>
        <v>0</v>
      </c>
      <c r="AY95" s="27" t="s">
        <v>304</v>
      </c>
      <c r="AZ95" s="27" t="s">
        <v>305</v>
      </c>
      <c r="BA95" s="11" t="s">
        <v>56</v>
      </c>
      <c r="BC95" s="25">
        <f>AW95+AX95</f>
        <v>0</v>
      </c>
      <c r="BD95" s="25">
        <f>G95/(100-BE95)*100</f>
        <v>0</v>
      </c>
      <c r="BE95" s="25">
        <v>0</v>
      </c>
      <c r="BF95" s="25">
        <f>95</f>
        <v>95</v>
      </c>
      <c r="BH95" s="25">
        <f>F95*AO95</f>
        <v>0</v>
      </c>
      <c r="BI95" s="25">
        <f>F95*AP95</f>
        <v>0</v>
      </c>
      <c r="BJ95" s="25">
        <f>F95*G95</f>
        <v>0</v>
      </c>
      <c r="BK95" s="27" t="s">
        <v>57</v>
      </c>
      <c r="BL95" s="25">
        <v>90</v>
      </c>
      <c r="BW95" s="25">
        <v>21</v>
      </c>
      <c r="BX95" s="5" t="s">
        <v>302</v>
      </c>
    </row>
    <row r="96" spans="1:76" x14ac:dyDescent="0.25">
      <c r="A96" s="2" t="s">
        <v>306</v>
      </c>
      <c r="B96" s="3" t="s">
        <v>307</v>
      </c>
      <c r="C96" s="93" t="s">
        <v>308</v>
      </c>
      <c r="D96" s="94"/>
      <c r="E96" s="3" t="s">
        <v>303</v>
      </c>
      <c r="F96" s="25">
        <v>150</v>
      </c>
      <c r="G96" s="25">
        <v>0</v>
      </c>
      <c r="H96" s="25">
        <f>ROUND(F96*AO96,2)</f>
        <v>0</v>
      </c>
      <c r="I96" s="25">
        <f>ROUND(F96*AP96,2)</f>
        <v>0</v>
      </c>
      <c r="J96" s="25">
        <f>ROUND(F96*G96,1)</f>
        <v>0</v>
      </c>
      <c r="K96" s="26" t="s">
        <v>53</v>
      </c>
      <c r="Z96" s="25">
        <f>ROUND(IF(AQ96="5",BJ96,0),2)</f>
        <v>0</v>
      </c>
      <c r="AB96" s="25">
        <f>ROUND(IF(AQ96="1",BH96,0),2)</f>
        <v>0</v>
      </c>
      <c r="AC96" s="25">
        <f>ROUND(IF(AQ96="1",BI96,0),2)</f>
        <v>0</v>
      </c>
      <c r="AD96" s="25">
        <f>ROUND(IF(AQ96="7",BH96,0),2)</f>
        <v>0</v>
      </c>
      <c r="AE96" s="25">
        <f>ROUND(IF(AQ96="7",BI96,0),2)</f>
        <v>0</v>
      </c>
      <c r="AF96" s="25">
        <f>ROUND(IF(AQ96="2",BH96,0),2)</f>
        <v>0</v>
      </c>
      <c r="AG96" s="25">
        <f>ROUND(IF(AQ96="2",BI96,0),2)</f>
        <v>0</v>
      </c>
      <c r="AH96" s="25">
        <f>ROUND(IF(AQ96="0",BJ96,0),2)</f>
        <v>0</v>
      </c>
      <c r="AI96" s="11" t="s">
        <v>46</v>
      </c>
      <c r="AJ96" s="25">
        <f>IF(AN96=0,J96,0)</f>
        <v>0</v>
      </c>
      <c r="AK96" s="25">
        <f>IF(AN96=12,J96,0)</f>
        <v>0</v>
      </c>
      <c r="AL96" s="25">
        <f>IF(AN96=21,J96,0)</f>
        <v>0</v>
      </c>
      <c r="AN96" s="25">
        <v>21</v>
      </c>
      <c r="AO96" s="25">
        <f>G96*0</f>
        <v>0</v>
      </c>
      <c r="AP96" s="25">
        <f>G96*(1-0)</f>
        <v>0</v>
      </c>
      <c r="AQ96" s="27" t="s">
        <v>49</v>
      </c>
      <c r="AV96" s="25">
        <f>ROUND(AW96+AX96,2)</f>
        <v>0</v>
      </c>
      <c r="AW96" s="25">
        <f>ROUND(F96*AO96,2)</f>
        <v>0</v>
      </c>
      <c r="AX96" s="25">
        <f>ROUND(F96*AP96,2)</f>
        <v>0</v>
      </c>
      <c r="AY96" s="27" t="s">
        <v>304</v>
      </c>
      <c r="AZ96" s="27" t="s">
        <v>305</v>
      </c>
      <c r="BA96" s="11" t="s">
        <v>56</v>
      </c>
      <c r="BC96" s="25">
        <f>AW96+AX96</f>
        <v>0</v>
      </c>
      <c r="BD96" s="25">
        <f>G96/(100-BE96)*100</f>
        <v>0</v>
      </c>
      <c r="BE96" s="25">
        <v>0</v>
      </c>
      <c r="BF96" s="25">
        <f>96</f>
        <v>96</v>
      </c>
      <c r="BH96" s="25">
        <f>F96*AO96</f>
        <v>0</v>
      </c>
      <c r="BI96" s="25">
        <f>F96*AP96</f>
        <v>0</v>
      </c>
      <c r="BJ96" s="25">
        <f>F96*G96</f>
        <v>0</v>
      </c>
      <c r="BK96" s="27" t="s">
        <v>57</v>
      </c>
      <c r="BL96" s="25">
        <v>90</v>
      </c>
      <c r="BW96" s="25">
        <v>21</v>
      </c>
      <c r="BX96" s="5" t="s">
        <v>308</v>
      </c>
    </row>
    <row r="97" spans="1:76" x14ac:dyDescent="0.25">
      <c r="A97" s="2" t="s">
        <v>309</v>
      </c>
      <c r="B97" s="3" t="s">
        <v>310</v>
      </c>
      <c r="C97" s="93" t="s">
        <v>311</v>
      </c>
      <c r="D97" s="94"/>
      <c r="E97" s="3" t="s">
        <v>303</v>
      </c>
      <c r="F97" s="25">
        <v>50</v>
      </c>
      <c r="G97" s="25">
        <v>0</v>
      </c>
      <c r="H97" s="25">
        <f>ROUND(F97*AO97,2)</f>
        <v>0</v>
      </c>
      <c r="I97" s="25">
        <f>ROUND(F97*AP97,2)</f>
        <v>0</v>
      </c>
      <c r="J97" s="25">
        <f>ROUND(F97*G97,1)</f>
        <v>0</v>
      </c>
      <c r="K97" s="26" t="s">
        <v>53</v>
      </c>
      <c r="Z97" s="25">
        <f>ROUND(IF(AQ97="5",BJ97,0),2)</f>
        <v>0</v>
      </c>
      <c r="AB97" s="25">
        <f>ROUND(IF(AQ97="1",BH97,0),2)</f>
        <v>0</v>
      </c>
      <c r="AC97" s="25">
        <f>ROUND(IF(AQ97="1",BI97,0),2)</f>
        <v>0</v>
      </c>
      <c r="AD97" s="25">
        <f>ROUND(IF(AQ97="7",BH97,0),2)</f>
        <v>0</v>
      </c>
      <c r="AE97" s="25">
        <f>ROUND(IF(AQ97="7",BI97,0),2)</f>
        <v>0</v>
      </c>
      <c r="AF97" s="25">
        <f>ROUND(IF(AQ97="2",BH97,0),2)</f>
        <v>0</v>
      </c>
      <c r="AG97" s="25">
        <f>ROUND(IF(AQ97="2",BI97,0),2)</f>
        <v>0</v>
      </c>
      <c r="AH97" s="25">
        <f>ROUND(IF(AQ97="0",BJ97,0),2)</f>
        <v>0</v>
      </c>
      <c r="AI97" s="11" t="s">
        <v>46</v>
      </c>
      <c r="AJ97" s="25">
        <f>IF(AN97=0,J97,0)</f>
        <v>0</v>
      </c>
      <c r="AK97" s="25">
        <f>IF(AN97=12,J97,0)</f>
        <v>0</v>
      </c>
      <c r="AL97" s="25">
        <f>IF(AN97=21,J97,0)</f>
        <v>0</v>
      </c>
      <c r="AN97" s="25">
        <v>21</v>
      </c>
      <c r="AO97" s="25">
        <f>G97*0</f>
        <v>0</v>
      </c>
      <c r="AP97" s="25">
        <f>G97*(1-0)</f>
        <v>0</v>
      </c>
      <c r="AQ97" s="27" t="s">
        <v>49</v>
      </c>
      <c r="AV97" s="25">
        <f>ROUND(AW97+AX97,2)</f>
        <v>0</v>
      </c>
      <c r="AW97" s="25">
        <f>ROUND(F97*AO97,2)</f>
        <v>0</v>
      </c>
      <c r="AX97" s="25">
        <f>ROUND(F97*AP97,2)</f>
        <v>0</v>
      </c>
      <c r="AY97" s="27" t="s">
        <v>304</v>
      </c>
      <c r="AZ97" s="27" t="s">
        <v>305</v>
      </c>
      <c r="BA97" s="11" t="s">
        <v>56</v>
      </c>
      <c r="BC97" s="25">
        <f>AW97+AX97</f>
        <v>0</v>
      </c>
      <c r="BD97" s="25">
        <f>G97/(100-BE97)*100</f>
        <v>0</v>
      </c>
      <c r="BE97" s="25">
        <v>0</v>
      </c>
      <c r="BF97" s="25">
        <f>97</f>
        <v>97</v>
      </c>
      <c r="BH97" s="25">
        <f>F97*AO97</f>
        <v>0</v>
      </c>
      <c r="BI97" s="25">
        <f>F97*AP97</f>
        <v>0</v>
      </c>
      <c r="BJ97" s="25">
        <f>F97*G97</f>
        <v>0</v>
      </c>
      <c r="BK97" s="27" t="s">
        <v>57</v>
      </c>
      <c r="BL97" s="25">
        <v>90</v>
      </c>
      <c r="BW97" s="25">
        <v>21</v>
      </c>
      <c r="BX97" s="5" t="s">
        <v>311</v>
      </c>
    </row>
    <row r="98" spans="1:76" x14ac:dyDescent="0.25">
      <c r="A98" s="2" t="s">
        <v>312</v>
      </c>
      <c r="B98" s="3" t="s">
        <v>313</v>
      </c>
      <c r="C98" s="93" t="s">
        <v>314</v>
      </c>
      <c r="D98" s="94"/>
      <c r="E98" s="3" t="s">
        <v>303</v>
      </c>
      <c r="F98" s="25">
        <v>100</v>
      </c>
      <c r="G98" s="25">
        <v>0</v>
      </c>
      <c r="H98" s="25">
        <f>ROUND(F98*AO98,2)</f>
        <v>0</v>
      </c>
      <c r="I98" s="25">
        <f>ROUND(F98*AP98,2)</f>
        <v>0</v>
      </c>
      <c r="J98" s="25">
        <f>ROUND(F98*G98,1)</f>
        <v>0</v>
      </c>
      <c r="K98" s="26" t="s">
        <v>53</v>
      </c>
      <c r="Z98" s="25">
        <f>ROUND(IF(AQ98="5",BJ98,0),2)</f>
        <v>0</v>
      </c>
      <c r="AB98" s="25">
        <f>ROUND(IF(AQ98="1",BH98,0),2)</f>
        <v>0</v>
      </c>
      <c r="AC98" s="25">
        <f>ROUND(IF(AQ98="1",BI98,0),2)</f>
        <v>0</v>
      </c>
      <c r="AD98" s="25">
        <f>ROUND(IF(AQ98="7",BH98,0),2)</f>
        <v>0</v>
      </c>
      <c r="AE98" s="25">
        <f>ROUND(IF(AQ98="7",BI98,0),2)</f>
        <v>0</v>
      </c>
      <c r="AF98" s="25">
        <f>ROUND(IF(AQ98="2",BH98,0),2)</f>
        <v>0</v>
      </c>
      <c r="AG98" s="25">
        <f>ROUND(IF(AQ98="2",BI98,0),2)</f>
        <v>0</v>
      </c>
      <c r="AH98" s="25">
        <f>ROUND(IF(AQ98="0",BJ98,0),2)</f>
        <v>0</v>
      </c>
      <c r="AI98" s="11" t="s">
        <v>46</v>
      </c>
      <c r="AJ98" s="25">
        <f>IF(AN98=0,J98,0)</f>
        <v>0</v>
      </c>
      <c r="AK98" s="25">
        <f>IF(AN98=12,J98,0)</f>
        <v>0</v>
      </c>
      <c r="AL98" s="25">
        <f>IF(AN98=21,J98,0)</f>
        <v>0</v>
      </c>
      <c r="AN98" s="25">
        <v>21</v>
      </c>
      <c r="AO98" s="25">
        <f>G98*0</f>
        <v>0</v>
      </c>
      <c r="AP98" s="25">
        <f>G98*(1-0)</f>
        <v>0</v>
      </c>
      <c r="AQ98" s="27" t="s">
        <v>49</v>
      </c>
      <c r="AV98" s="25">
        <f>ROUND(AW98+AX98,2)</f>
        <v>0</v>
      </c>
      <c r="AW98" s="25">
        <f>ROUND(F98*AO98,2)</f>
        <v>0</v>
      </c>
      <c r="AX98" s="25">
        <f>ROUND(F98*AP98,2)</f>
        <v>0</v>
      </c>
      <c r="AY98" s="27" t="s">
        <v>304</v>
      </c>
      <c r="AZ98" s="27" t="s">
        <v>305</v>
      </c>
      <c r="BA98" s="11" t="s">
        <v>56</v>
      </c>
      <c r="BC98" s="25">
        <f>AW98+AX98</f>
        <v>0</v>
      </c>
      <c r="BD98" s="25">
        <f>G98/(100-BE98)*100</f>
        <v>0</v>
      </c>
      <c r="BE98" s="25">
        <v>0</v>
      </c>
      <c r="BF98" s="25">
        <f>98</f>
        <v>98</v>
      </c>
      <c r="BH98" s="25">
        <f>F98*AO98</f>
        <v>0</v>
      </c>
      <c r="BI98" s="25">
        <f>F98*AP98</f>
        <v>0</v>
      </c>
      <c r="BJ98" s="25">
        <f>F98*G98</f>
        <v>0</v>
      </c>
      <c r="BK98" s="27" t="s">
        <v>57</v>
      </c>
      <c r="BL98" s="25">
        <v>90</v>
      </c>
      <c r="BW98" s="25">
        <v>21</v>
      </c>
      <c r="BX98" s="5" t="s">
        <v>314</v>
      </c>
    </row>
    <row r="99" spans="1:76" x14ac:dyDescent="0.25">
      <c r="A99" s="2" t="s">
        <v>315</v>
      </c>
      <c r="B99" s="3" t="s">
        <v>316</v>
      </c>
      <c r="C99" s="93" t="s">
        <v>317</v>
      </c>
      <c r="D99" s="94"/>
      <c r="E99" s="3" t="s">
        <v>303</v>
      </c>
      <c r="F99" s="25">
        <v>100</v>
      </c>
      <c r="G99" s="25">
        <v>0</v>
      </c>
      <c r="H99" s="25">
        <f>ROUND(F99*AO99,2)</f>
        <v>0</v>
      </c>
      <c r="I99" s="25">
        <f>ROUND(F99*AP99,2)</f>
        <v>0</v>
      </c>
      <c r="J99" s="25">
        <f>ROUND(F99*G99,1)</f>
        <v>0</v>
      </c>
      <c r="K99" s="26" t="s">
        <v>53</v>
      </c>
      <c r="Z99" s="25">
        <f>ROUND(IF(AQ99="5",BJ99,0),2)</f>
        <v>0</v>
      </c>
      <c r="AB99" s="25">
        <f>ROUND(IF(AQ99="1",BH99,0),2)</f>
        <v>0</v>
      </c>
      <c r="AC99" s="25">
        <f>ROUND(IF(AQ99="1",BI99,0),2)</f>
        <v>0</v>
      </c>
      <c r="AD99" s="25">
        <f>ROUND(IF(AQ99="7",BH99,0),2)</f>
        <v>0</v>
      </c>
      <c r="AE99" s="25">
        <f>ROUND(IF(AQ99="7",BI99,0),2)</f>
        <v>0</v>
      </c>
      <c r="AF99" s="25">
        <f>ROUND(IF(AQ99="2",BH99,0),2)</f>
        <v>0</v>
      </c>
      <c r="AG99" s="25">
        <f>ROUND(IF(AQ99="2",BI99,0),2)</f>
        <v>0</v>
      </c>
      <c r="AH99" s="25">
        <f>ROUND(IF(AQ99="0",BJ99,0),2)</f>
        <v>0</v>
      </c>
      <c r="AI99" s="11" t="s">
        <v>46</v>
      </c>
      <c r="AJ99" s="25">
        <f>IF(AN99=0,J99,0)</f>
        <v>0</v>
      </c>
      <c r="AK99" s="25">
        <f>IF(AN99=12,J99,0)</f>
        <v>0</v>
      </c>
      <c r="AL99" s="25">
        <f>IF(AN99=21,J99,0)</f>
        <v>0</v>
      </c>
      <c r="AN99" s="25">
        <v>21</v>
      </c>
      <c r="AO99" s="25">
        <f>G99*0</f>
        <v>0</v>
      </c>
      <c r="AP99" s="25">
        <f>G99*(1-0)</f>
        <v>0</v>
      </c>
      <c r="AQ99" s="27" t="s">
        <v>49</v>
      </c>
      <c r="AV99" s="25">
        <f>ROUND(AW99+AX99,2)</f>
        <v>0</v>
      </c>
      <c r="AW99" s="25">
        <f>ROUND(F99*AO99,2)</f>
        <v>0</v>
      </c>
      <c r="AX99" s="25">
        <f>ROUND(F99*AP99,2)</f>
        <v>0</v>
      </c>
      <c r="AY99" s="27" t="s">
        <v>304</v>
      </c>
      <c r="AZ99" s="27" t="s">
        <v>305</v>
      </c>
      <c r="BA99" s="11" t="s">
        <v>56</v>
      </c>
      <c r="BC99" s="25">
        <f>AW99+AX99</f>
        <v>0</v>
      </c>
      <c r="BD99" s="25">
        <f>G99/(100-BE99)*100</f>
        <v>0</v>
      </c>
      <c r="BE99" s="25">
        <v>0</v>
      </c>
      <c r="BF99" s="25">
        <f>99</f>
        <v>99</v>
      </c>
      <c r="BH99" s="25">
        <f>F99*AO99</f>
        <v>0</v>
      </c>
      <c r="BI99" s="25">
        <f>F99*AP99</f>
        <v>0</v>
      </c>
      <c r="BJ99" s="25">
        <f>F99*G99</f>
        <v>0</v>
      </c>
      <c r="BK99" s="27" t="s">
        <v>57</v>
      </c>
      <c r="BL99" s="25">
        <v>90</v>
      </c>
      <c r="BW99" s="25">
        <v>21</v>
      </c>
      <c r="BX99" s="5" t="s">
        <v>317</v>
      </c>
    </row>
    <row r="100" spans="1:76" x14ac:dyDescent="0.25">
      <c r="A100" s="28" t="s">
        <v>46</v>
      </c>
      <c r="B100" s="29" t="s">
        <v>318</v>
      </c>
      <c r="C100" s="150" t="s">
        <v>319</v>
      </c>
      <c r="D100" s="151"/>
      <c r="E100" s="30" t="s">
        <v>4</v>
      </c>
      <c r="F100" s="30" t="s">
        <v>4</v>
      </c>
      <c r="G100" s="30" t="s">
        <v>4</v>
      </c>
      <c r="H100" s="1">
        <f>ROUND(SUM(H101:H102),1)</f>
        <v>0</v>
      </c>
      <c r="I100" s="1">
        <f>ROUND(SUM(I101:I102),1)</f>
        <v>0</v>
      </c>
      <c r="J100" s="1">
        <f>ROUND(SUM(J101:J102),1)</f>
        <v>0</v>
      </c>
      <c r="K100" s="31" t="s">
        <v>46</v>
      </c>
      <c r="AI100" s="11" t="s">
        <v>46</v>
      </c>
      <c r="AS100" s="1">
        <f>SUM(AJ101:AJ102)</f>
        <v>0</v>
      </c>
      <c r="AT100" s="1">
        <f>SUM(AK101:AK102)</f>
        <v>0</v>
      </c>
      <c r="AU100" s="1">
        <f>SUM(AL101:AL102)</f>
        <v>0</v>
      </c>
    </row>
    <row r="101" spans="1:76" x14ac:dyDescent="0.25">
      <c r="A101" s="2" t="s">
        <v>320</v>
      </c>
      <c r="B101" s="3" t="s">
        <v>321</v>
      </c>
      <c r="C101" s="93" t="s">
        <v>322</v>
      </c>
      <c r="D101" s="94"/>
      <c r="E101" s="3" t="s">
        <v>93</v>
      </c>
      <c r="F101" s="25">
        <v>645</v>
      </c>
      <c r="G101" s="25">
        <v>0</v>
      </c>
      <c r="H101" s="25">
        <f>ROUND(F101*AO101,2)</f>
        <v>0</v>
      </c>
      <c r="I101" s="25">
        <f>ROUND(F101*AP101,2)</f>
        <v>0</v>
      </c>
      <c r="J101" s="25">
        <f>ROUND(F101*G101,1)</f>
        <v>0</v>
      </c>
      <c r="K101" s="26" t="s">
        <v>53</v>
      </c>
      <c r="Z101" s="25">
        <f>ROUND(IF(AQ101="5",BJ101,0),2)</f>
        <v>0</v>
      </c>
      <c r="AB101" s="25">
        <f>ROUND(IF(AQ101="1",BH101,0),2)</f>
        <v>0</v>
      </c>
      <c r="AC101" s="25">
        <f>ROUND(IF(AQ101="1",BI101,0),2)</f>
        <v>0</v>
      </c>
      <c r="AD101" s="25">
        <f>ROUND(IF(AQ101="7",BH101,0),2)</f>
        <v>0</v>
      </c>
      <c r="AE101" s="25">
        <f>ROUND(IF(AQ101="7",BI101,0),2)</f>
        <v>0</v>
      </c>
      <c r="AF101" s="25">
        <f>ROUND(IF(AQ101="2",BH101,0),2)</f>
        <v>0</v>
      </c>
      <c r="AG101" s="25">
        <f>ROUND(IF(AQ101="2",BI101,0),2)</f>
        <v>0</v>
      </c>
      <c r="AH101" s="25">
        <f>ROUND(IF(AQ101="0",BJ101,0),2)</f>
        <v>0</v>
      </c>
      <c r="AI101" s="11" t="s">
        <v>46</v>
      </c>
      <c r="AJ101" s="25">
        <f>IF(AN101=0,J101,0)</f>
        <v>0</v>
      </c>
      <c r="AK101" s="25">
        <f>IF(AN101=12,J101,0)</f>
        <v>0</v>
      </c>
      <c r="AL101" s="25">
        <f>IF(AN101=21,J101,0)</f>
        <v>0</v>
      </c>
      <c r="AN101" s="25">
        <v>21</v>
      </c>
      <c r="AO101" s="25">
        <f>G101*0.309860791</f>
        <v>0</v>
      </c>
      <c r="AP101" s="25">
        <f>G101*(1-0.309860791)</f>
        <v>0</v>
      </c>
      <c r="AQ101" s="27" t="s">
        <v>49</v>
      </c>
      <c r="AV101" s="25">
        <f>ROUND(AW101+AX101,2)</f>
        <v>0</v>
      </c>
      <c r="AW101" s="25">
        <f>ROUND(F101*AO101,2)</f>
        <v>0</v>
      </c>
      <c r="AX101" s="25">
        <f>ROUND(F101*AP101,2)</f>
        <v>0</v>
      </c>
      <c r="AY101" s="27" t="s">
        <v>323</v>
      </c>
      <c r="AZ101" s="27" t="s">
        <v>305</v>
      </c>
      <c r="BA101" s="11" t="s">
        <v>56</v>
      </c>
      <c r="BC101" s="25">
        <f>AW101+AX101</f>
        <v>0</v>
      </c>
      <c r="BD101" s="25">
        <f>G101/(100-BE101)*100</f>
        <v>0</v>
      </c>
      <c r="BE101" s="25">
        <v>0</v>
      </c>
      <c r="BF101" s="25">
        <f>101</f>
        <v>101</v>
      </c>
      <c r="BH101" s="25">
        <f>F101*AO101</f>
        <v>0</v>
      </c>
      <c r="BI101" s="25">
        <f>F101*AP101</f>
        <v>0</v>
      </c>
      <c r="BJ101" s="25">
        <f>F101*G101</f>
        <v>0</v>
      </c>
      <c r="BK101" s="27" t="s">
        <v>57</v>
      </c>
      <c r="BL101" s="25">
        <v>94</v>
      </c>
      <c r="BW101" s="25">
        <v>21</v>
      </c>
      <c r="BX101" s="5" t="s">
        <v>322</v>
      </c>
    </row>
    <row r="102" spans="1:76" x14ac:dyDescent="0.25">
      <c r="A102" s="2" t="s">
        <v>324</v>
      </c>
      <c r="B102" s="3" t="s">
        <v>325</v>
      </c>
      <c r="C102" s="93" t="s">
        <v>326</v>
      </c>
      <c r="D102" s="94"/>
      <c r="E102" s="3" t="s">
        <v>303</v>
      </c>
      <c r="F102" s="25">
        <v>20</v>
      </c>
      <c r="G102" s="25">
        <v>0</v>
      </c>
      <c r="H102" s="25">
        <f>ROUND(F102*AO102,2)</f>
        <v>0</v>
      </c>
      <c r="I102" s="25">
        <f>ROUND(F102*AP102,2)</f>
        <v>0</v>
      </c>
      <c r="J102" s="25">
        <f>ROUND(F102*G102,1)</f>
        <v>0</v>
      </c>
      <c r="K102" s="26" t="s">
        <v>53</v>
      </c>
      <c r="Z102" s="25">
        <f>ROUND(IF(AQ102="5",BJ102,0),2)</f>
        <v>0</v>
      </c>
      <c r="AB102" s="25">
        <f>ROUND(IF(AQ102="1",BH102,0),2)</f>
        <v>0</v>
      </c>
      <c r="AC102" s="25">
        <f>ROUND(IF(AQ102="1",BI102,0),2)</f>
        <v>0</v>
      </c>
      <c r="AD102" s="25">
        <f>ROUND(IF(AQ102="7",BH102,0),2)</f>
        <v>0</v>
      </c>
      <c r="AE102" s="25">
        <f>ROUND(IF(AQ102="7",BI102,0),2)</f>
        <v>0</v>
      </c>
      <c r="AF102" s="25">
        <f>ROUND(IF(AQ102="2",BH102,0),2)</f>
        <v>0</v>
      </c>
      <c r="AG102" s="25">
        <f>ROUND(IF(AQ102="2",BI102,0),2)</f>
        <v>0</v>
      </c>
      <c r="AH102" s="25">
        <f>ROUND(IF(AQ102="0",BJ102,0),2)</f>
        <v>0</v>
      </c>
      <c r="AI102" s="11" t="s">
        <v>46</v>
      </c>
      <c r="AJ102" s="25">
        <f>IF(AN102=0,J102,0)</f>
        <v>0</v>
      </c>
      <c r="AK102" s="25">
        <f>IF(AN102=12,J102,0)</f>
        <v>0</v>
      </c>
      <c r="AL102" s="25">
        <f>IF(AN102=21,J102,0)</f>
        <v>0</v>
      </c>
      <c r="AN102" s="25">
        <v>21</v>
      </c>
      <c r="AO102" s="25">
        <f>G102*0</f>
        <v>0</v>
      </c>
      <c r="AP102" s="25">
        <f>G102*(1-0)</f>
        <v>0</v>
      </c>
      <c r="AQ102" s="27" t="s">
        <v>49</v>
      </c>
      <c r="AV102" s="25">
        <f>ROUND(AW102+AX102,2)</f>
        <v>0</v>
      </c>
      <c r="AW102" s="25">
        <f>ROUND(F102*AO102,2)</f>
        <v>0</v>
      </c>
      <c r="AX102" s="25">
        <f>ROUND(F102*AP102,2)</f>
        <v>0</v>
      </c>
      <c r="AY102" s="27" t="s">
        <v>323</v>
      </c>
      <c r="AZ102" s="27" t="s">
        <v>305</v>
      </c>
      <c r="BA102" s="11" t="s">
        <v>56</v>
      </c>
      <c r="BC102" s="25">
        <f>AW102+AX102</f>
        <v>0</v>
      </c>
      <c r="BD102" s="25">
        <f>G102/(100-BE102)*100</f>
        <v>0</v>
      </c>
      <c r="BE102" s="25">
        <v>0</v>
      </c>
      <c r="BF102" s="25">
        <f>102</f>
        <v>102</v>
      </c>
      <c r="BH102" s="25">
        <f>F102*AO102</f>
        <v>0</v>
      </c>
      <c r="BI102" s="25">
        <f>F102*AP102</f>
        <v>0</v>
      </c>
      <c r="BJ102" s="25">
        <f>F102*G102</f>
        <v>0</v>
      </c>
      <c r="BK102" s="27" t="s">
        <v>57</v>
      </c>
      <c r="BL102" s="25">
        <v>94</v>
      </c>
      <c r="BW102" s="25">
        <v>21</v>
      </c>
      <c r="BX102" s="5" t="s">
        <v>326</v>
      </c>
    </row>
    <row r="103" spans="1:76" x14ac:dyDescent="0.25">
      <c r="A103" s="28" t="s">
        <v>46</v>
      </c>
      <c r="B103" s="29" t="s">
        <v>327</v>
      </c>
      <c r="C103" s="150" t="s">
        <v>328</v>
      </c>
      <c r="D103" s="151"/>
      <c r="E103" s="30" t="s">
        <v>4</v>
      </c>
      <c r="F103" s="30" t="s">
        <v>4</v>
      </c>
      <c r="G103" s="30" t="s">
        <v>4</v>
      </c>
      <c r="H103" s="1">
        <f>ROUND(SUM(H104:H109),1)</f>
        <v>0</v>
      </c>
      <c r="I103" s="1">
        <f>ROUND(SUM(I104:I109),1)</f>
        <v>0</v>
      </c>
      <c r="J103" s="1">
        <f>ROUND(SUM(J104:J109),1)</f>
        <v>0</v>
      </c>
      <c r="K103" s="31" t="s">
        <v>46</v>
      </c>
      <c r="AI103" s="11" t="s">
        <v>46</v>
      </c>
      <c r="AS103" s="1">
        <f>SUM(AJ104:AJ109)</f>
        <v>0</v>
      </c>
      <c r="AT103" s="1">
        <f>SUM(AK104:AK109)</f>
        <v>0</v>
      </c>
      <c r="AU103" s="1">
        <f>SUM(AL104:AL109)</f>
        <v>0</v>
      </c>
    </row>
    <row r="104" spans="1:76" x14ac:dyDescent="0.25">
      <c r="A104" s="2" t="s">
        <v>329</v>
      </c>
      <c r="B104" s="3" t="s">
        <v>330</v>
      </c>
      <c r="C104" s="93" t="s">
        <v>331</v>
      </c>
      <c r="D104" s="94"/>
      <c r="E104" s="3" t="s">
        <v>93</v>
      </c>
      <c r="F104" s="25">
        <v>655.48</v>
      </c>
      <c r="G104" s="25">
        <v>0</v>
      </c>
      <c r="H104" s="25">
        <f t="shared" ref="H104:H109" si="90">ROUND(F104*AO104,2)</f>
        <v>0</v>
      </c>
      <c r="I104" s="25">
        <f t="shared" ref="I104:I109" si="91">ROUND(F104*AP104,2)</f>
        <v>0</v>
      </c>
      <c r="J104" s="25">
        <f t="shared" ref="J104:J109" si="92">ROUND(F104*G104,1)</f>
        <v>0</v>
      </c>
      <c r="K104" s="26" t="s">
        <v>53</v>
      </c>
      <c r="Z104" s="25">
        <f t="shared" ref="Z104:Z109" si="93">ROUND(IF(AQ104="5",BJ104,0),2)</f>
        <v>0</v>
      </c>
      <c r="AB104" s="25">
        <f t="shared" ref="AB104:AB109" si="94">ROUND(IF(AQ104="1",BH104,0),2)</f>
        <v>0</v>
      </c>
      <c r="AC104" s="25">
        <f t="shared" ref="AC104:AC109" si="95">ROUND(IF(AQ104="1",BI104,0),2)</f>
        <v>0</v>
      </c>
      <c r="AD104" s="25">
        <f t="shared" ref="AD104:AD109" si="96">ROUND(IF(AQ104="7",BH104,0),2)</f>
        <v>0</v>
      </c>
      <c r="AE104" s="25">
        <f t="shared" ref="AE104:AE109" si="97">ROUND(IF(AQ104="7",BI104,0),2)</f>
        <v>0</v>
      </c>
      <c r="AF104" s="25">
        <f t="shared" ref="AF104:AF109" si="98">ROUND(IF(AQ104="2",BH104,0),2)</f>
        <v>0</v>
      </c>
      <c r="AG104" s="25">
        <f t="shared" ref="AG104:AG109" si="99">ROUND(IF(AQ104="2",BI104,0),2)</f>
        <v>0</v>
      </c>
      <c r="AH104" s="25">
        <f t="shared" ref="AH104:AH109" si="100">ROUND(IF(AQ104="0",BJ104,0),2)</f>
        <v>0</v>
      </c>
      <c r="AI104" s="11" t="s">
        <v>46</v>
      </c>
      <c r="AJ104" s="25">
        <f t="shared" ref="AJ104:AJ109" si="101">IF(AN104=0,J104,0)</f>
        <v>0</v>
      </c>
      <c r="AK104" s="25">
        <f t="shared" ref="AK104:AK109" si="102">IF(AN104=12,J104,0)</f>
        <v>0</v>
      </c>
      <c r="AL104" s="25">
        <f t="shared" ref="AL104:AL109" si="103">IF(AN104=21,J104,0)</f>
        <v>0</v>
      </c>
      <c r="AN104" s="25">
        <v>21</v>
      </c>
      <c r="AO104" s="25">
        <f>G104*0.012649615</f>
        <v>0</v>
      </c>
      <c r="AP104" s="25">
        <f>G104*(1-0.012649615)</f>
        <v>0</v>
      </c>
      <c r="AQ104" s="27" t="s">
        <v>49</v>
      </c>
      <c r="AV104" s="25">
        <f t="shared" ref="AV104:AV109" si="104">ROUND(AW104+AX104,2)</f>
        <v>0</v>
      </c>
      <c r="AW104" s="25">
        <f t="shared" ref="AW104:AW109" si="105">ROUND(F104*AO104,2)</f>
        <v>0</v>
      </c>
      <c r="AX104" s="25">
        <f t="shared" ref="AX104:AX109" si="106">ROUND(F104*AP104,2)</f>
        <v>0</v>
      </c>
      <c r="AY104" s="27" t="s">
        <v>332</v>
      </c>
      <c r="AZ104" s="27" t="s">
        <v>305</v>
      </c>
      <c r="BA104" s="11" t="s">
        <v>56</v>
      </c>
      <c r="BC104" s="25">
        <f t="shared" ref="BC104:BC109" si="107">AW104+AX104</f>
        <v>0</v>
      </c>
      <c r="BD104" s="25">
        <f t="shared" ref="BD104:BD109" si="108">G104/(100-BE104)*100</f>
        <v>0</v>
      </c>
      <c r="BE104" s="25">
        <v>0</v>
      </c>
      <c r="BF104" s="25">
        <f>104</f>
        <v>104</v>
      </c>
      <c r="BH104" s="25">
        <f t="shared" ref="BH104:BH109" si="109">F104*AO104</f>
        <v>0</v>
      </c>
      <c r="BI104" s="25">
        <f t="shared" ref="BI104:BI109" si="110">F104*AP104</f>
        <v>0</v>
      </c>
      <c r="BJ104" s="25">
        <f t="shared" ref="BJ104:BJ109" si="111">F104*G104</f>
        <v>0</v>
      </c>
      <c r="BK104" s="27" t="s">
        <v>57</v>
      </c>
      <c r="BL104" s="25">
        <v>95</v>
      </c>
      <c r="BW104" s="25">
        <v>21</v>
      </c>
      <c r="BX104" s="5" t="s">
        <v>331</v>
      </c>
    </row>
    <row r="105" spans="1:76" x14ac:dyDescent="0.25">
      <c r="A105" s="2" t="s">
        <v>333</v>
      </c>
      <c r="B105" s="3" t="s">
        <v>334</v>
      </c>
      <c r="C105" s="93" t="s">
        <v>335</v>
      </c>
      <c r="D105" s="94"/>
      <c r="E105" s="3" t="s">
        <v>52</v>
      </c>
      <c r="F105" s="25">
        <v>4</v>
      </c>
      <c r="G105" s="25">
        <v>0</v>
      </c>
      <c r="H105" s="25">
        <f t="shared" si="90"/>
        <v>0</v>
      </c>
      <c r="I105" s="25">
        <f t="shared" si="91"/>
        <v>0</v>
      </c>
      <c r="J105" s="25">
        <f t="shared" si="92"/>
        <v>0</v>
      </c>
      <c r="K105" s="26" t="s">
        <v>53</v>
      </c>
      <c r="Z105" s="25">
        <f t="shared" si="93"/>
        <v>0</v>
      </c>
      <c r="AB105" s="25">
        <f t="shared" si="94"/>
        <v>0</v>
      </c>
      <c r="AC105" s="25">
        <f t="shared" si="95"/>
        <v>0</v>
      </c>
      <c r="AD105" s="25">
        <f t="shared" si="96"/>
        <v>0</v>
      </c>
      <c r="AE105" s="25">
        <f t="shared" si="97"/>
        <v>0</v>
      </c>
      <c r="AF105" s="25">
        <f t="shared" si="98"/>
        <v>0</v>
      </c>
      <c r="AG105" s="25">
        <f t="shared" si="99"/>
        <v>0</v>
      </c>
      <c r="AH105" s="25">
        <f t="shared" si="100"/>
        <v>0</v>
      </c>
      <c r="AI105" s="11" t="s">
        <v>46</v>
      </c>
      <c r="AJ105" s="25">
        <f t="shared" si="101"/>
        <v>0</v>
      </c>
      <c r="AK105" s="25">
        <f t="shared" si="102"/>
        <v>0</v>
      </c>
      <c r="AL105" s="25">
        <f t="shared" si="103"/>
        <v>0</v>
      </c>
      <c r="AN105" s="25">
        <v>21</v>
      </c>
      <c r="AO105" s="25">
        <f>G105*0.179909323</f>
        <v>0</v>
      </c>
      <c r="AP105" s="25">
        <f>G105*(1-0.179909323)</f>
        <v>0</v>
      </c>
      <c r="AQ105" s="27" t="s">
        <v>49</v>
      </c>
      <c r="AV105" s="25">
        <f t="shared" si="104"/>
        <v>0</v>
      </c>
      <c r="AW105" s="25">
        <f t="shared" si="105"/>
        <v>0</v>
      </c>
      <c r="AX105" s="25">
        <f t="shared" si="106"/>
        <v>0</v>
      </c>
      <c r="AY105" s="27" t="s">
        <v>332</v>
      </c>
      <c r="AZ105" s="27" t="s">
        <v>305</v>
      </c>
      <c r="BA105" s="11" t="s">
        <v>56</v>
      </c>
      <c r="BC105" s="25">
        <f t="shared" si="107"/>
        <v>0</v>
      </c>
      <c r="BD105" s="25">
        <f t="shared" si="108"/>
        <v>0</v>
      </c>
      <c r="BE105" s="25">
        <v>0</v>
      </c>
      <c r="BF105" s="25">
        <f>105</f>
        <v>105</v>
      </c>
      <c r="BH105" s="25">
        <f t="shared" si="109"/>
        <v>0</v>
      </c>
      <c r="BI105" s="25">
        <f t="shared" si="110"/>
        <v>0</v>
      </c>
      <c r="BJ105" s="25">
        <f t="shared" si="111"/>
        <v>0</v>
      </c>
      <c r="BK105" s="27" t="s">
        <v>57</v>
      </c>
      <c r="BL105" s="25">
        <v>95</v>
      </c>
      <c r="BW105" s="25">
        <v>21</v>
      </c>
      <c r="BX105" s="5" t="s">
        <v>335</v>
      </c>
    </row>
    <row r="106" spans="1:76" x14ac:dyDescent="0.25">
      <c r="A106" s="2" t="s">
        <v>336</v>
      </c>
      <c r="B106" s="3" t="s">
        <v>337</v>
      </c>
      <c r="C106" s="93" t="s">
        <v>338</v>
      </c>
      <c r="D106" s="94"/>
      <c r="E106" s="3" t="s">
        <v>52</v>
      </c>
      <c r="F106" s="25">
        <v>4</v>
      </c>
      <c r="G106" s="25">
        <v>0</v>
      </c>
      <c r="H106" s="25">
        <f t="shared" si="90"/>
        <v>0</v>
      </c>
      <c r="I106" s="25">
        <f t="shared" si="91"/>
        <v>0</v>
      </c>
      <c r="J106" s="25">
        <f t="shared" si="92"/>
        <v>0</v>
      </c>
      <c r="K106" s="26" t="s">
        <v>53</v>
      </c>
      <c r="Z106" s="25">
        <f t="shared" si="93"/>
        <v>0</v>
      </c>
      <c r="AB106" s="25">
        <f t="shared" si="94"/>
        <v>0</v>
      </c>
      <c r="AC106" s="25">
        <f t="shared" si="95"/>
        <v>0</v>
      </c>
      <c r="AD106" s="25">
        <f t="shared" si="96"/>
        <v>0</v>
      </c>
      <c r="AE106" s="25">
        <f t="shared" si="97"/>
        <v>0</v>
      </c>
      <c r="AF106" s="25">
        <f t="shared" si="98"/>
        <v>0</v>
      </c>
      <c r="AG106" s="25">
        <f t="shared" si="99"/>
        <v>0</v>
      </c>
      <c r="AH106" s="25">
        <f t="shared" si="100"/>
        <v>0</v>
      </c>
      <c r="AI106" s="11" t="s">
        <v>46</v>
      </c>
      <c r="AJ106" s="25">
        <f t="shared" si="101"/>
        <v>0</v>
      </c>
      <c r="AK106" s="25">
        <f t="shared" si="102"/>
        <v>0</v>
      </c>
      <c r="AL106" s="25">
        <f t="shared" si="103"/>
        <v>0</v>
      </c>
      <c r="AN106" s="25">
        <v>21</v>
      </c>
      <c r="AO106" s="25">
        <f>G106*1</f>
        <v>0</v>
      </c>
      <c r="AP106" s="25">
        <f>G106*(1-1)</f>
        <v>0</v>
      </c>
      <c r="AQ106" s="27" t="s">
        <v>49</v>
      </c>
      <c r="AV106" s="25">
        <f t="shared" si="104"/>
        <v>0</v>
      </c>
      <c r="AW106" s="25">
        <f t="shared" si="105"/>
        <v>0</v>
      </c>
      <c r="AX106" s="25">
        <f t="shared" si="106"/>
        <v>0</v>
      </c>
      <c r="AY106" s="27" t="s">
        <v>332</v>
      </c>
      <c r="AZ106" s="27" t="s">
        <v>305</v>
      </c>
      <c r="BA106" s="11" t="s">
        <v>56</v>
      </c>
      <c r="BC106" s="25">
        <f t="shared" si="107"/>
        <v>0</v>
      </c>
      <c r="BD106" s="25">
        <f t="shared" si="108"/>
        <v>0</v>
      </c>
      <c r="BE106" s="25">
        <v>0</v>
      </c>
      <c r="BF106" s="25">
        <f>106</f>
        <v>106</v>
      </c>
      <c r="BH106" s="25">
        <f t="shared" si="109"/>
        <v>0</v>
      </c>
      <c r="BI106" s="25">
        <f t="shared" si="110"/>
        <v>0</v>
      </c>
      <c r="BJ106" s="25">
        <f t="shared" si="111"/>
        <v>0</v>
      </c>
      <c r="BK106" s="27" t="s">
        <v>75</v>
      </c>
      <c r="BL106" s="25">
        <v>95</v>
      </c>
      <c r="BW106" s="25">
        <v>21</v>
      </c>
      <c r="BX106" s="5" t="s">
        <v>338</v>
      </c>
    </row>
    <row r="107" spans="1:76" x14ac:dyDescent="0.25">
      <c r="A107" s="2" t="s">
        <v>339</v>
      </c>
      <c r="B107" s="3" t="s">
        <v>340</v>
      </c>
      <c r="C107" s="93" t="s">
        <v>341</v>
      </c>
      <c r="D107" s="94"/>
      <c r="E107" s="3" t="s">
        <v>342</v>
      </c>
      <c r="F107" s="25">
        <v>50</v>
      </c>
      <c r="G107" s="25">
        <v>0</v>
      </c>
      <c r="H107" s="25">
        <f t="shared" si="90"/>
        <v>0</v>
      </c>
      <c r="I107" s="25">
        <f t="shared" si="91"/>
        <v>0</v>
      </c>
      <c r="J107" s="25">
        <f t="shared" si="92"/>
        <v>0</v>
      </c>
      <c r="K107" s="26" t="s">
        <v>53</v>
      </c>
      <c r="Z107" s="25">
        <f t="shared" si="93"/>
        <v>0</v>
      </c>
      <c r="AB107" s="25">
        <f t="shared" si="94"/>
        <v>0</v>
      </c>
      <c r="AC107" s="25">
        <f t="shared" si="95"/>
        <v>0</v>
      </c>
      <c r="AD107" s="25">
        <f t="shared" si="96"/>
        <v>0</v>
      </c>
      <c r="AE107" s="25">
        <f t="shared" si="97"/>
        <v>0</v>
      </c>
      <c r="AF107" s="25">
        <f t="shared" si="98"/>
        <v>0</v>
      </c>
      <c r="AG107" s="25">
        <f t="shared" si="99"/>
        <v>0</v>
      </c>
      <c r="AH107" s="25">
        <f t="shared" si="100"/>
        <v>0</v>
      </c>
      <c r="AI107" s="11" t="s">
        <v>46</v>
      </c>
      <c r="AJ107" s="25">
        <f t="shared" si="101"/>
        <v>0</v>
      </c>
      <c r="AK107" s="25">
        <f t="shared" si="102"/>
        <v>0</v>
      </c>
      <c r="AL107" s="25">
        <f t="shared" si="103"/>
        <v>0</v>
      </c>
      <c r="AN107" s="25">
        <v>21</v>
      </c>
      <c r="AO107" s="25">
        <f>G107*0.179925466</f>
        <v>0</v>
      </c>
      <c r="AP107" s="25">
        <f>G107*(1-0.179925466)</f>
        <v>0</v>
      </c>
      <c r="AQ107" s="27" t="s">
        <v>49</v>
      </c>
      <c r="AV107" s="25">
        <f t="shared" si="104"/>
        <v>0</v>
      </c>
      <c r="AW107" s="25">
        <f t="shared" si="105"/>
        <v>0</v>
      </c>
      <c r="AX107" s="25">
        <f t="shared" si="106"/>
        <v>0</v>
      </c>
      <c r="AY107" s="27" t="s">
        <v>332</v>
      </c>
      <c r="AZ107" s="27" t="s">
        <v>305</v>
      </c>
      <c r="BA107" s="11" t="s">
        <v>56</v>
      </c>
      <c r="BC107" s="25">
        <f t="shared" si="107"/>
        <v>0</v>
      </c>
      <c r="BD107" s="25">
        <f t="shared" si="108"/>
        <v>0</v>
      </c>
      <c r="BE107" s="25">
        <v>0</v>
      </c>
      <c r="BF107" s="25">
        <f>107</f>
        <v>107</v>
      </c>
      <c r="BH107" s="25">
        <f t="shared" si="109"/>
        <v>0</v>
      </c>
      <c r="BI107" s="25">
        <f t="shared" si="110"/>
        <v>0</v>
      </c>
      <c r="BJ107" s="25">
        <f t="shared" si="111"/>
        <v>0</v>
      </c>
      <c r="BK107" s="27" t="s">
        <v>57</v>
      </c>
      <c r="BL107" s="25">
        <v>95</v>
      </c>
      <c r="BW107" s="25">
        <v>21</v>
      </c>
      <c r="BX107" s="5" t="s">
        <v>341</v>
      </c>
    </row>
    <row r="108" spans="1:76" x14ac:dyDescent="0.25">
      <c r="A108" s="2" t="s">
        <v>343</v>
      </c>
      <c r="B108" s="3" t="s">
        <v>344</v>
      </c>
      <c r="C108" s="93" t="s">
        <v>345</v>
      </c>
      <c r="D108" s="94"/>
      <c r="E108" s="3" t="s">
        <v>342</v>
      </c>
      <c r="F108" s="25">
        <v>1</v>
      </c>
      <c r="G108" s="25">
        <v>0</v>
      </c>
      <c r="H108" s="25">
        <f t="shared" si="90"/>
        <v>0</v>
      </c>
      <c r="I108" s="25">
        <f t="shared" si="91"/>
        <v>0</v>
      </c>
      <c r="J108" s="25">
        <f t="shared" si="92"/>
        <v>0</v>
      </c>
      <c r="K108" s="26" t="s">
        <v>53</v>
      </c>
      <c r="Z108" s="25">
        <f t="shared" si="93"/>
        <v>0</v>
      </c>
      <c r="AB108" s="25">
        <f t="shared" si="94"/>
        <v>0</v>
      </c>
      <c r="AC108" s="25">
        <f t="shared" si="95"/>
        <v>0</v>
      </c>
      <c r="AD108" s="25">
        <f t="shared" si="96"/>
        <v>0</v>
      </c>
      <c r="AE108" s="25">
        <f t="shared" si="97"/>
        <v>0</v>
      </c>
      <c r="AF108" s="25">
        <f t="shared" si="98"/>
        <v>0</v>
      </c>
      <c r="AG108" s="25">
        <f t="shared" si="99"/>
        <v>0</v>
      </c>
      <c r="AH108" s="25">
        <f t="shared" si="100"/>
        <v>0</v>
      </c>
      <c r="AI108" s="11" t="s">
        <v>46</v>
      </c>
      <c r="AJ108" s="25">
        <f t="shared" si="101"/>
        <v>0</v>
      </c>
      <c r="AK108" s="25">
        <f t="shared" si="102"/>
        <v>0</v>
      </c>
      <c r="AL108" s="25">
        <f t="shared" si="103"/>
        <v>0</v>
      </c>
      <c r="AN108" s="25">
        <v>21</v>
      </c>
      <c r="AO108" s="25">
        <f>G108*0.17992381</f>
        <v>0</v>
      </c>
      <c r="AP108" s="25">
        <f>G108*(1-0.17992381)</f>
        <v>0</v>
      </c>
      <c r="AQ108" s="27" t="s">
        <v>49</v>
      </c>
      <c r="AV108" s="25">
        <f t="shared" si="104"/>
        <v>0</v>
      </c>
      <c r="AW108" s="25">
        <f t="shared" si="105"/>
        <v>0</v>
      </c>
      <c r="AX108" s="25">
        <f t="shared" si="106"/>
        <v>0</v>
      </c>
      <c r="AY108" s="27" t="s">
        <v>332</v>
      </c>
      <c r="AZ108" s="27" t="s">
        <v>305</v>
      </c>
      <c r="BA108" s="11" t="s">
        <v>56</v>
      </c>
      <c r="BC108" s="25">
        <f t="shared" si="107"/>
        <v>0</v>
      </c>
      <c r="BD108" s="25">
        <f t="shared" si="108"/>
        <v>0</v>
      </c>
      <c r="BE108" s="25">
        <v>0</v>
      </c>
      <c r="BF108" s="25">
        <f>108</f>
        <v>108</v>
      </c>
      <c r="BH108" s="25">
        <f t="shared" si="109"/>
        <v>0</v>
      </c>
      <c r="BI108" s="25">
        <f t="shared" si="110"/>
        <v>0</v>
      </c>
      <c r="BJ108" s="25">
        <f t="shared" si="111"/>
        <v>0</v>
      </c>
      <c r="BK108" s="27" t="s">
        <v>57</v>
      </c>
      <c r="BL108" s="25">
        <v>95</v>
      </c>
      <c r="BW108" s="25">
        <v>21</v>
      </c>
      <c r="BX108" s="5" t="s">
        <v>345</v>
      </c>
    </row>
    <row r="109" spans="1:76" x14ac:dyDescent="0.25">
      <c r="A109" s="2" t="s">
        <v>346</v>
      </c>
      <c r="B109" s="3" t="s">
        <v>347</v>
      </c>
      <c r="C109" s="93" t="s">
        <v>348</v>
      </c>
      <c r="D109" s="94"/>
      <c r="E109" s="3" t="s">
        <v>52</v>
      </c>
      <c r="F109" s="25">
        <v>1</v>
      </c>
      <c r="G109" s="25">
        <v>0</v>
      </c>
      <c r="H109" s="25">
        <f t="shared" si="90"/>
        <v>0</v>
      </c>
      <c r="I109" s="25">
        <f t="shared" si="91"/>
        <v>0</v>
      </c>
      <c r="J109" s="25">
        <f t="shared" si="92"/>
        <v>0</v>
      </c>
      <c r="K109" s="26" t="s">
        <v>53</v>
      </c>
      <c r="Z109" s="25">
        <f t="shared" si="93"/>
        <v>0</v>
      </c>
      <c r="AB109" s="25">
        <f t="shared" si="94"/>
        <v>0</v>
      </c>
      <c r="AC109" s="25">
        <f t="shared" si="95"/>
        <v>0</v>
      </c>
      <c r="AD109" s="25">
        <f t="shared" si="96"/>
        <v>0</v>
      </c>
      <c r="AE109" s="25">
        <f t="shared" si="97"/>
        <v>0</v>
      </c>
      <c r="AF109" s="25">
        <f t="shared" si="98"/>
        <v>0</v>
      </c>
      <c r="AG109" s="25">
        <f t="shared" si="99"/>
        <v>0</v>
      </c>
      <c r="AH109" s="25">
        <f t="shared" si="100"/>
        <v>0</v>
      </c>
      <c r="AI109" s="11" t="s">
        <v>46</v>
      </c>
      <c r="AJ109" s="25">
        <f t="shared" si="101"/>
        <v>0</v>
      </c>
      <c r="AK109" s="25">
        <f t="shared" si="102"/>
        <v>0</v>
      </c>
      <c r="AL109" s="25">
        <f t="shared" si="103"/>
        <v>0</v>
      </c>
      <c r="AN109" s="25">
        <v>21</v>
      </c>
      <c r="AO109" s="25">
        <f>G109*0.931841602</f>
        <v>0</v>
      </c>
      <c r="AP109" s="25">
        <f>G109*(1-0.931841602)</f>
        <v>0</v>
      </c>
      <c r="AQ109" s="27" t="s">
        <v>49</v>
      </c>
      <c r="AV109" s="25">
        <f t="shared" si="104"/>
        <v>0</v>
      </c>
      <c r="AW109" s="25">
        <f t="shared" si="105"/>
        <v>0</v>
      </c>
      <c r="AX109" s="25">
        <f t="shared" si="106"/>
        <v>0</v>
      </c>
      <c r="AY109" s="27" t="s">
        <v>332</v>
      </c>
      <c r="AZ109" s="27" t="s">
        <v>305</v>
      </c>
      <c r="BA109" s="11" t="s">
        <v>56</v>
      </c>
      <c r="BC109" s="25">
        <f t="shared" si="107"/>
        <v>0</v>
      </c>
      <c r="BD109" s="25">
        <f t="shared" si="108"/>
        <v>0</v>
      </c>
      <c r="BE109" s="25">
        <v>0</v>
      </c>
      <c r="BF109" s="25">
        <f>109</f>
        <v>109</v>
      </c>
      <c r="BH109" s="25">
        <f t="shared" si="109"/>
        <v>0</v>
      </c>
      <c r="BI109" s="25">
        <f t="shared" si="110"/>
        <v>0</v>
      </c>
      <c r="BJ109" s="25">
        <f t="shared" si="111"/>
        <v>0</v>
      </c>
      <c r="BK109" s="27" t="s">
        <v>57</v>
      </c>
      <c r="BL109" s="25">
        <v>95</v>
      </c>
      <c r="BW109" s="25">
        <v>21</v>
      </c>
      <c r="BX109" s="5" t="s">
        <v>348</v>
      </c>
    </row>
    <row r="110" spans="1:76" x14ac:dyDescent="0.25">
      <c r="A110" s="28" t="s">
        <v>46</v>
      </c>
      <c r="B110" s="29" t="s">
        <v>349</v>
      </c>
      <c r="C110" s="150" t="s">
        <v>350</v>
      </c>
      <c r="D110" s="151"/>
      <c r="E110" s="30" t="s">
        <v>4</v>
      </c>
      <c r="F110" s="30" t="s">
        <v>4</v>
      </c>
      <c r="G110" s="30" t="s">
        <v>4</v>
      </c>
      <c r="H110" s="1">
        <f>ROUND(SUM(H111:H141),1)</f>
        <v>0</v>
      </c>
      <c r="I110" s="1">
        <f>ROUND(SUM(I111:I141),1)</f>
        <v>0</v>
      </c>
      <c r="J110" s="1">
        <f>ROUND(SUM(J111:J141),1)</f>
        <v>0</v>
      </c>
      <c r="K110" s="31" t="s">
        <v>46</v>
      </c>
      <c r="AI110" s="11" t="s">
        <v>46</v>
      </c>
      <c r="AS110" s="1">
        <f>SUM(AJ111:AJ141)</f>
        <v>0</v>
      </c>
      <c r="AT110" s="1">
        <f>SUM(AK111:AK141)</f>
        <v>0</v>
      </c>
      <c r="AU110" s="1">
        <f>SUM(AL111:AL141)</f>
        <v>0</v>
      </c>
    </row>
    <row r="111" spans="1:76" x14ac:dyDescent="0.25">
      <c r="A111" s="2" t="s">
        <v>351</v>
      </c>
      <c r="B111" s="3" t="s">
        <v>352</v>
      </c>
      <c r="C111" s="93" t="s">
        <v>353</v>
      </c>
      <c r="D111" s="94"/>
      <c r="E111" s="3" t="s">
        <v>61</v>
      </c>
      <c r="F111" s="25">
        <v>0.63700000000000001</v>
      </c>
      <c r="G111" s="25">
        <v>0</v>
      </c>
      <c r="H111" s="25">
        <f t="shared" ref="H111:H141" si="112">ROUND(F111*AO111,2)</f>
        <v>0</v>
      </c>
      <c r="I111" s="25">
        <f t="shared" ref="I111:I141" si="113">ROUND(F111*AP111,2)</f>
        <v>0</v>
      </c>
      <c r="J111" s="25">
        <f t="shared" ref="J111:J141" si="114">ROUND(F111*G111,1)</f>
        <v>0</v>
      </c>
      <c r="K111" s="26" t="s">
        <v>53</v>
      </c>
      <c r="Z111" s="25">
        <f t="shared" ref="Z111:Z141" si="115">ROUND(IF(AQ111="5",BJ111,0),2)</f>
        <v>0</v>
      </c>
      <c r="AB111" s="25">
        <f t="shared" ref="AB111:AB141" si="116">ROUND(IF(AQ111="1",BH111,0),2)</f>
        <v>0</v>
      </c>
      <c r="AC111" s="25">
        <f t="shared" ref="AC111:AC141" si="117">ROUND(IF(AQ111="1",BI111,0),2)</f>
        <v>0</v>
      </c>
      <c r="AD111" s="25">
        <f t="shared" ref="AD111:AD141" si="118">ROUND(IF(AQ111="7",BH111,0),2)</f>
        <v>0</v>
      </c>
      <c r="AE111" s="25">
        <f t="shared" ref="AE111:AE141" si="119">ROUND(IF(AQ111="7",BI111,0),2)</f>
        <v>0</v>
      </c>
      <c r="AF111" s="25">
        <f t="shared" ref="AF111:AF141" si="120">ROUND(IF(AQ111="2",BH111,0),2)</f>
        <v>0</v>
      </c>
      <c r="AG111" s="25">
        <f t="shared" ref="AG111:AG141" si="121">ROUND(IF(AQ111="2",BI111,0),2)</f>
        <v>0</v>
      </c>
      <c r="AH111" s="25">
        <f t="shared" ref="AH111:AH141" si="122">ROUND(IF(AQ111="0",BJ111,0),2)</f>
        <v>0</v>
      </c>
      <c r="AI111" s="11" t="s">
        <v>46</v>
      </c>
      <c r="AJ111" s="25">
        <f t="shared" ref="AJ111:AJ141" si="123">IF(AN111=0,J111,0)</f>
        <v>0</v>
      </c>
      <c r="AK111" s="25">
        <f t="shared" ref="AK111:AK141" si="124">IF(AN111=12,J111,0)</f>
        <v>0</v>
      </c>
      <c r="AL111" s="25">
        <f t="shared" ref="AL111:AL141" si="125">IF(AN111=21,J111,0)</f>
        <v>0</v>
      </c>
      <c r="AN111" s="25">
        <v>21</v>
      </c>
      <c r="AO111" s="25">
        <f>G111*0.0329374</f>
        <v>0</v>
      </c>
      <c r="AP111" s="25">
        <f>G111*(1-0.0329374)</f>
        <v>0</v>
      </c>
      <c r="AQ111" s="27" t="s">
        <v>49</v>
      </c>
      <c r="AV111" s="25">
        <f t="shared" ref="AV111:AV141" si="126">ROUND(AW111+AX111,2)</f>
        <v>0</v>
      </c>
      <c r="AW111" s="25">
        <f t="shared" ref="AW111:AW141" si="127">ROUND(F111*AO111,2)</f>
        <v>0</v>
      </c>
      <c r="AX111" s="25">
        <f t="shared" ref="AX111:AX141" si="128">ROUND(F111*AP111,2)</f>
        <v>0</v>
      </c>
      <c r="AY111" s="27" t="s">
        <v>354</v>
      </c>
      <c r="AZ111" s="27" t="s">
        <v>305</v>
      </c>
      <c r="BA111" s="11" t="s">
        <v>56</v>
      </c>
      <c r="BC111" s="25">
        <f t="shared" ref="BC111:BC141" si="129">AW111+AX111</f>
        <v>0</v>
      </c>
      <c r="BD111" s="25">
        <f t="shared" ref="BD111:BD141" si="130">G111/(100-BE111)*100</f>
        <v>0</v>
      </c>
      <c r="BE111" s="25">
        <v>0</v>
      </c>
      <c r="BF111" s="25">
        <f>111</f>
        <v>111</v>
      </c>
      <c r="BH111" s="25">
        <f t="shared" ref="BH111:BH141" si="131">F111*AO111</f>
        <v>0</v>
      </c>
      <c r="BI111" s="25">
        <f t="shared" ref="BI111:BI141" si="132">F111*AP111</f>
        <v>0</v>
      </c>
      <c r="BJ111" s="25">
        <f t="shared" ref="BJ111:BJ141" si="133">F111*G111</f>
        <v>0</v>
      </c>
      <c r="BK111" s="27" t="s">
        <v>57</v>
      </c>
      <c r="BL111" s="25">
        <v>96</v>
      </c>
      <c r="BW111" s="25">
        <v>21</v>
      </c>
      <c r="BX111" s="5" t="s">
        <v>353</v>
      </c>
    </row>
    <row r="112" spans="1:76" ht="25.5" x14ac:dyDescent="0.25">
      <c r="A112" s="2" t="s">
        <v>298</v>
      </c>
      <c r="B112" s="3" t="s">
        <v>355</v>
      </c>
      <c r="C112" s="93" t="s">
        <v>356</v>
      </c>
      <c r="D112" s="94"/>
      <c r="E112" s="3" t="s">
        <v>93</v>
      </c>
      <c r="F112" s="25">
        <v>201.95599999999999</v>
      </c>
      <c r="G112" s="25">
        <v>0</v>
      </c>
      <c r="H112" s="25">
        <f t="shared" si="112"/>
        <v>0</v>
      </c>
      <c r="I112" s="25">
        <f t="shared" si="113"/>
        <v>0</v>
      </c>
      <c r="J112" s="25">
        <f t="shared" si="114"/>
        <v>0</v>
      </c>
      <c r="K112" s="26" t="s">
        <v>53</v>
      </c>
      <c r="Z112" s="25">
        <f t="shared" si="115"/>
        <v>0</v>
      </c>
      <c r="AB112" s="25">
        <f t="shared" si="116"/>
        <v>0</v>
      </c>
      <c r="AC112" s="25">
        <f t="shared" si="117"/>
        <v>0</v>
      </c>
      <c r="AD112" s="25">
        <f t="shared" si="118"/>
        <v>0</v>
      </c>
      <c r="AE112" s="25">
        <f t="shared" si="119"/>
        <v>0</v>
      </c>
      <c r="AF112" s="25">
        <f t="shared" si="120"/>
        <v>0</v>
      </c>
      <c r="AG112" s="25">
        <f t="shared" si="121"/>
        <v>0</v>
      </c>
      <c r="AH112" s="25">
        <f t="shared" si="122"/>
        <v>0</v>
      </c>
      <c r="AI112" s="11" t="s">
        <v>46</v>
      </c>
      <c r="AJ112" s="25">
        <f t="shared" si="123"/>
        <v>0</v>
      </c>
      <c r="AK112" s="25">
        <f t="shared" si="124"/>
        <v>0</v>
      </c>
      <c r="AL112" s="25">
        <f t="shared" si="125"/>
        <v>0</v>
      </c>
      <c r="AN112" s="25">
        <v>21</v>
      </c>
      <c r="AO112" s="25">
        <f>G112*0.049870901</f>
        <v>0</v>
      </c>
      <c r="AP112" s="25">
        <f>G112*(1-0.049870901)</f>
        <v>0</v>
      </c>
      <c r="AQ112" s="27" t="s">
        <v>49</v>
      </c>
      <c r="AV112" s="25">
        <f t="shared" si="126"/>
        <v>0</v>
      </c>
      <c r="AW112" s="25">
        <f t="shared" si="127"/>
        <v>0</v>
      </c>
      <c r="AX112" s="25">
        <f t="shared" si="128"/>
        <v>0</v>
      </c>
      <c r="AY112" s="27" t="s">
        <v>354</v>
      </c>
      <c r="AZ112" s="27" t="s">
        <v>305</v>
      </c>
      <c r="BA112" s="11" t="s">
        <v>56</v>
      </c>
      <c r="BC112" s="25">
        <f t="shared" si="129"/>
        <v>0</v>
      </c>
      <c r="BD112" s="25">
        <f t="shared" si="130"/>
        <v>0</v>
      </c>
      <c r="BE112" s="25">
        <v>0</v>
      </c>
      <c r="BF112" s="25">
        <f>112</f>
        <v>112</v>
      </c>
      <c r="BH112" s="25">
        <f t="shared" si="131"/>
        <v>0</v>
      </c>
      <c r="BI112" s="25">
        <f t="shared" si="132"/>
        <v>0</v>
      </c>
      <c r="BJ112" s="25">
        <f t="shared" si="133"/>
        <v>0</v>
      </c>
      <c r="BK112" s="27" t="s">
        <v>57</v>
      </c>
      <c r="BL112" s="25">
        <v>96</v>
      </c>
      <c r="BW112" s="25">
        <v>21</v>
      </c>
      <c r="BX112" s="5" t="s">
        <v>356</v>
      </c>
    </row>
    <row r="113" spans="1:76" x14ac:dyDescent="0.25">
      <c r="A113" s="2" t="s">
        <v>357</v>
      </c>
      <c r="B113" s="3" t="s">
        <v>358</v>
      </c>
      <c r="C113" s="93" t="s">
        <v>359</v>
      </c>
      <c r="D113" s="94"/>
      <c r="E113" s="3" t="s">
        <v>93</v>
      </c>
      <c r="F113" s="25">
        <v>14.478999999999999</v>
      </c>
      <c r="G113" s="25">
        <v>0</v>
      </c>
      <c r="H113" s="25">
        <f t="shared" si="112"/>
        <v>0</v>
      </c>
      <c r="I113" s="25">
        <f t="shared" si="113"/>
        <v>0</v>
      </c>
      <c r="J113" s="25">
        <f t="shared" si="114"/>
        <v>0</v>
      </c>
      <c r="K113" s="26" t="s">
        <v>53</v>
      </c>
      <c r="Z113" s="25">
        <f t="shared" si="115"/>
        <v>0</v>
      </c>
      <c r="AB113" s="25">
        <f t="shared" si="116"/>
        <v>0</v>
      </c>
      <c r="AC113" s="25">
        <f t="shared" si="117"/>
        <v>0</v>
      </c>
      <c r="AD113" s="25">
        <f t="shared" si="118"/>
        <v>0</v>
      </c>
      <c r="AE113" s="25">
        <f t="shared" si="119"/>
        <v>0</v>
      </c>
      <c r="AF113" s="25">
        <f t="shared" si="120"/>
        <v>0</v>
      </c>
      <c r="AG113" s="25">
        <f t="shared" si="121"/>
        <v>0</v>
      </c>
      <c r="AH113" s="25">
        <f t="shared" si="122"/>
        <v>0</v>
      </c>
      <c r="AI113" s="11" t="s">
        <v>46</v>
      </c>
      <c r="AJ113" s="25">
        <f t="shared" si="123"/>
        <v>0</v>
      </c>
      <c r="AK113" s="25">
        <f t="shared" si="124"/>
        <v>0</v>
      </c>
      <c r="AL113" s="25">
        <f t="shared" si="125"/>
        <v>0</v>
      </c>
      <c r="AN113" s="25">
        <v>21</v>
      </c>
      <c r="AO113" s="25">
        <f>G113*0.036972744</f>
        <v>0</v>
      </c>
      <c r="AP113" s="25">
        <f>G113*(1-0.036972744)</f>
        <v>0</v>
      </c>
      <c r="AQ113" s="27" t="s">
        <v>49</v>
      </c>
      <c r="AV113" s="25">
        <f t="shared" si="126"/>
        <v>0</v>
      </c>
      <c r="AW113" s="25">
        <f t="shared" si="127"/>
        <v>0</v>
      </c>
      <c r="AX113" s="25">
        <f t="shared" si="128"/>
        <v>0</v>
      </c>
      <c r="AY113" s="27" t="s">
        <v>354</v>
      </c>
      <c r="AZ113" s="27" t="s">
        <v>305</v>
      </c>
      <c r="BA113" s="11" t="s">
        <v>56</v>
      </c>
      <c r="BC113" s="25">
        <f t="shared" si="129"/>
        <v>0</v>
      </c>
      <c r="BD113" s="25">
        <f t="shared" si="130"/>
        <v>0</v>
      </c>
      <c r="BE113" s="25">
        <v>0</v>
      </c>
      <c r="BF113" s="25">
        <f>113</f>
        <v>113</v>
      </c>
      <c r="BH113" s="25">
        <f t="shared" si="131"/>
        <v>0</v>
      </c>
      <c r="BI113" s="25">
        <f t="shared" si="132"/>
        <v>0</v>
      </c>
      <c r="BJ113" s="25">
        <f t="shared" si="133"/>
        <v>0</v>
      </c>
      <c r="BK113" s="27" t="s">
        <v>57</v>
      </c>
      <c r="BL113" s="25">
        <v>96</v>
      </c>
      <c r="BW113" s="25">
        <v>21</v>
      </c>
      <c r="BX113" s="5" t="s">
        <v>359</v>
      </c>
    </row>
    <row r="114" spans="1:76" x14ac:dyDescent="0.25">
      <c r="A114" s="2" t="s">
        <v>360</v>
      </c>
      <c r="B114" s="3" t="s">
        <v>361</v>
      </c>
      <c r="C114" s="93" t="s">
        <v>362</v>
      </c>
      <c r="D114" s="94"/>
      <c r="E114" s="3" t="s">
        <v>93</v>
      </c>
      <c r="F114" s="25">
        <v>22.064</v>
      </c>
      <c r="G114" s="25">
        <v>0</v>
      </c>
      <c r="H114" s="25">
        <f t="shared" si="112"/>
        <v>0</v>
      </c>
      <c r="I114" s="25">
        <f t="shared" si="113"/>
        <v>0</v>
      </c>
      <c r="J114" s="25">
        <f t="shared" si="114"/>
        <v>0</v>
      </c>
      <c r="K114" s="26" t="s">
        <v>53</v>
      </c>
      <c r="Z114" s="25">
        <f t="shared" si="115"/>
        <v>0</v>
      </c>
      <c r="AB114" s="25">
        <f t="shared" si="116"/>
        <v>0</v>
      </c>
      <c r="AC114" s="25">
        <f t="shared" si="117"/>
        <v>0</v>
      </c>
      <c r="AD114" s="25">
        <f t="shared" si="118"/>
        <v>0</v>
      </c>
      <c r="AE114" s="25">
        <f t="shared" si="119"/>
        <v>0</v>
      </c>
      <c r="AF114" s="25">
        <f t="shared" si="120"/>
        <v>0</v>
      </c>
      <c r="AG114" s="25">
        <f t="shared" si="121"/>
        <v>0</v>
      </c>
      <c r="AH114" s="25">
        <f t="shared" si="122"/>
        <v>0</v>
      </c>
      <c r="AI114" s="11" t="s">
        <v>46</v>
      </c>
      <c r="AJ114" s="25">
        <f t="shared" si="123"/>
        <v>0</v>
      </c>
      <c r="AK114" s="25">
        <f t="shared" si="124"/>
        <v>0</v>
      </c>
      <c r="AL114" s="25">
        <f t="shared" si="125"/>
        <v>0</v>
      </c>
      <c r="AN114" s="25">
        <v>21</v>
      </c>
      <c r="AO114" s="25">
        <f>G114*0.030203989</f>
        <v>0</v>
      </c>
      <c r="AP114" s="25">
        <f>G114*(1-0.030203989)</f>
        <v>0</v>
      </c>
      <c r="AQ114" s="27" t="s">
        <v>49</v>
      </c>
      <c r="AV114" s="25">
        <f t="shared" si="126"/>
        <v>0</v>
      </c>
      <c r="AW114" s="25">
        <f t="shared" si="127"/>
        <v>0</v>
      </c>
      <c r="AX114" s="25">
        <f t="shared" si="128"/>
        <v>0</v>
      </c>
      <c r="AY114" s="27" t="s">
        <v>354</v>
      </c>
      <c r="AZ114" s="27" t="s">
        <v>305</v>
      </c>
      <c r="BA114" s="11" t="s">
        <v>56</v>
      </c>
      <c r="BC114" s="25">
        <f t="shared" si="129"/>
        <v>0</v>
      </c>
      <c r="BD114" s="25">
        <f t="shared" si="130"/>
        <v>0</v>
      </c>
      <c r="BE114" s="25">
        <v>0</v>
      </c>
      <c r="BF114" s="25">
        <f>114</f>
        <v>114</v>
      </c>
      <c r="BH114" s="25">
        <f t="shared" si="131"/>
        <v>0</v>
      </c>
      <c r="BI114" s="25">
        <f t="shared" si="132"/>
        <v>0</v>
      </c>
      <c r="BJ114" s="25">
        <f t="shared" si="133"/>
        <v>0</v>
      </c>
      <c r="BK114" s="27" t="s">
        <v>57</v>
      </c>
      <c r="BL114" s="25">
        <v>96</v>
      </c>
      <c r="BW114" s="25">
        <v>21</v>
      </c>
      <c r="BX114" s="5" t="s">
        <v>362</v>
      </c>
    </row>
    <row r="115" spans="1:76" x14ac:dyDescent="0.25">
      <c r="A115" s="2" t="s">
        <v>363</v>
      </c>
      <c r="B115" s="3" t="s">
        <v>364</v>
      </c>
      <c r="C115" s="93" t="s">
        <v>365</v>
      </c>
      <c r="D115" s="94"/>
      <c r="E115" s="3" t="s">
        <v>93</v>
      </c>
      <c r="F115" s="25">
        <v>43.543999999999997</v>
      </c>
      <c r="G115" s="25">
        <v>0</v>
      </c>
      <c r="H115" s="25">
        <f t="shared" si="112"/>
        <v>0</v>
      </c>
      <c r="I115" s="25">
        <f t="shared" si="113"/>
        <v>0</v>
      </c>
      <c r="J115" s="25">
        <f t="shared" si="114"/>
        <v>0</v>
      </c>
      <c r="K115" s="26" t="s">
        <v>53</v>
      </c>
      <c r="Z115" s="25">
        <f t="shared" si="115"/>
        <v>0</v>
      </c>
      <c r="AB115" s="25">
        <f t="shared" si="116"/>
        <v>0</v>
      </c>
      <c r="AC115" s="25">
        <f t="shared" si="117"/>
        <v>0</v>
      </c>
      <c r="AD115" s="25">
        <f t="shared" si="118"/>
        <v>0</v>
      </c>
      <c r="AE115" s="25">
        <f t="shared" si="119"/>
        <v>0</v>
      </c>
      <c r="AF115" s="25">
        <f t="shared" si="120"/>
        <v>0</v>
      </c>
      <c r="AG115" s="25">
        <f t="shared" si="121"/>
        <v>0</v>
      </c>
      <c r="AH115" s="25">
        <f t="shared" si="122"/>
        <v>0</v>
      </c>
      <c r="AI115" s="11" t="s">
        <v>46</v>
      </c>
      <c r="AJ115" s="25">
        <f t="shared" si="123"/>
        <v>0</v>
      </c>
      <c r="AK115" s="25">
        <f t="shared" si="124"/>
        <v>0</v>
      </c>
      <c r="AL115" s="25">
        <f t="shared" si="125"/>
        <v>0</v>
      </c>
      <c r="AN115" s="25">
        <v>21</v>
      </c>
      <c r="AO115" s="25">
        <f>G115*0.059571572</f>
        <v>0</v>
      </c>
      <c r="AP115" s="25">
        <f>G115*(1-0.059571572)</f>
        <v>0</v>
      </c>
      <c r="AQ115" s="27" t="s">
        <v>49</v>
      </c>
      <c r="AV115" s="25">
        <f t="shared" si="126"/>
        <v>0</v>
      </c>
      <c r="AW115" s="25">
        <f t="shared" si="127"/>
        <v>0</v>
      </c>
      <c r="AX115" s="25">
        <f t="shared" si="128"/>
        <v>0</v>
      </c>
      <c r="AY115" s="27" t="s">
        <v>354</v>
      </c>
      <c r="AZ115" s="27" t="s">
        <v>305</v>
      </c>
      <c r="BA115" s="11" t="s">
        <v>56</v>
      </c>
      <c r="BC115" s="25">
        <f t="shared" si="129"/>
        <v>0</v>
      </c>
      <c r="BD115" s="25">
        <f t="shared" si="130"/>
        <v>0</v>
      </c>
      <c r="BE115" s="25">
        <v>0</v>
      </c>
      <c r="BF115" s="25">
        <f>115</f>
        <v>115</v>
      </c>
      <c r="BH115" s="25">
        <f t="shared" si="131"/>
        <v>0</v>
      </c>
      <c r="BI115" s="25">
        <f t="shared" si="132"/>
        <v>0</v>
      </c>
      <c r="BJ115" s="25">
        <f t="shared" si="133"/>
        <v>0</v>
      </c>
      <c r="BK115" s="27" t="s">
        <v>57</v>
      </c>
      <c r="BL115" s="25">
        <v>96</v>
      </c>
      <c r="BW115" s="25">
        <v>21</v>
      </c>
      <c r="BX115" s="5" t="s">
        <v>365</v>
      </c>
    </row>
    <row r="116" spans="1:76" x14ac:dyDescent="0.25">
      <c r="A116" s="2" t="s">
        <v>318</v>
      </c>
      <c r="B116" s="3" t="s">
        <v>366</v>
      </c>
      <c r="C116" s="93" t="s">
        <v>367</v>
      </c>
      <c r="D116" s="94"/>
      <c r="E116" s="3" t="s">
        <v>93</v>
      </c>
      <c r="F116" s="25">
        <v>43.543999999999997</v>
      </c>
      <c r="G116" s="25">
        <v>0</v>
      </c>
      <c r="H116" s="25">
        <f t="shared" si="112"/>
        <v>0</v>
      </c>
      <c r="I116" s="25">
        <f t="shared" si="113"/>
        <v>0</v>
      </c>
      <c r="J116" s="25">
        <f t="shared" si="114"/>
        <v>0</v>
      </c>
      <c r="K116" s="26" t="s">
        <v>53</v>
      </c>
      <c r="Z116" s="25">
        <f t="shared" si="115"/>
        <v>0</v>
      </c>
      <c r="AB116" s="25">
        <f t="shared" si="116"/>
        <v>0</v>
      </c>
      <c r="AC116" s="25">
        <f t="shared" si="117"/>
        <v>0</v>
      </c>
      <c r="AD116" s="25">
        <f t="shared" si="118"/>
        <v>0</v>
      </c>
      <c r="AE116" s="25">
        <f t="shared" si="119"/>
        <v>0</v>
      </c>
      <c r="AF116" s="25">
        <f t="shared" si="120"/>
        <v>0</v>
      </c>
      <c r="AG116" s="25">
        <f t="shared" si="121"/>
        <v>0</v>
      </c>
      <c r="AH116" s="25">
        <f t="shared" si="122"/>
        <v>0</v>
      </c>
      <c r="AI116" s="11" t="s">
        <v>46</v>
      </c>
      <c r="AJ116" s="25">
        <f t="shared" si="123"/>
        <v>0</v>
      </c>
      <c r="AK116" s="25">
        <f t="shared" si="124"/>
        <v>0</v>
      </c>
      <c r="AL116" s="25">
        <f t="shared" si="125"/>
        <v>0</v>
      </c>
      <c r="AN116" s="25">
        <v>21</v>
      </c>
      <c r="AO116" s="25">
        <f>G116*0</f>
        <v>0</v>
      </c>
      <c r="AP116" s="25">
        <f>G116*(1-0)</f>
        <v>0</v>
      </c>
      <c r="AQ116" s="27" t="s">
        <v>49</v>
      </c>
      <c r="AV116" s="25">
        <f t="shared" si="126"/>
        <v>0</v>
      </c>
      <c r="AW116" s="25">
        <f t="shared" si="127"/>
        <v>0</v>
      </c>
      <c r="AX116" s="25">
        <f t="shared" si="128"/>
        <v>0</v>
      </c>
      <c r="AY116" s="27" t="s">
        <v>354</v>
      </c>
      <c r="AZ116" s="27" t="s">
        <v>305</v>
      </c>
      <c r="BA116" s="11" t="s">
        <v>56</v>
      </c>
      <c r="BC116" s="25">
        <f t="shared" si="129"/>
        <v>0</v>
      </c>
      <c r="BD116" s="25">
        <f t="shared" si="130"/>
        <v>0</v>
      </c>
      <c r="BE116" s="25">
        <v>0</v>
      </c>
      <c r="BF116" s="25">
        <f>116</f>
        <v>116</v>
      </c>
      <c r="BH116" s="25">
        <f t="shared" si="131"/>
        <v>0</v>
      </c>
      <c r="BI116" s="25">
        <f t="shared" si="132"/>
        <v>0</v>
      </c>
      <c r="BJ116" s="25">
        <f t="shared" si="133"/>
        <v>0</v>
      </c>
      <c r="BK116" s="27" t="s">
        <v>57</v>
      </c>
      <c r="BL116" s="25">
        <v>96</v>
      </c>
      <c r="BW116" s="25">
        <v>21</v>
      </c>
      <c r="BX116" s="5" t="s">
        <v>367</v>
      </c>
    </row>
    <row r="117" spans="1:76" ht="25.5" x14ac:dyDescent="0.25">
      <c r="A117" s="2" t="s">
        <v>327</v>
      </c>
      <c r="B117" s="3" t="s">
        <v>368</v>
      </c>
      <c r="C117" s="93" t="s">
        <v>369</v>
      </c>
      <c r="D117" s="94"/>
      <c r="E117" s="3" t="s">
        <v>93</v>
      </c>
      <c r="F117" s="25">
        <v>237.042</v>
      </c>
      <c r="G117" s="25">
        <v>0</v>
      </c>
      <c r="H117" s="25">
        <f t="shared" si="112"/>
        <v>0</v>
      </c>
      <c r="I117" s="25">
        <f t="shared" si="113"/>
        <v>0</v>
      </c>
      <c r="J117" s="25">
        <f t="shared" si="114"/>
        <v>0</v>
      </c>
      <c r="K117" s="26" t="s">
        <v>53</v>
      </c>
      <c r="Z117" s="25">
        <f t="shared" si="115"/>
        <v>0</v>
      </c>
      <c r="AB117" s="25">
        <f t="shared" si="116"/>
        <v>0</v>
      </c>
      <c r="AC117" s="25">
        <f t="shared" si="117"/>
        <v>0</v>
      </c>
      <c r="AD117" s="25">
        <f t="shared" si="118"/>
        <v>0</v>
      </c>
      <c r="AE117" s="25">
        <f t="shared" si="119"/>
        <v>0</v>
      </c>
      <c r="AF117" s="25">
        <f t="shared" si="120"/>
        <v>0</v>
      </c>
      <c r="AG117" s="25">
        <f t="shared" si="121"/>
        <v>0</v>
      </c>
      <c r="AH117" s="25">
        <f t="shared" si="122"/>
        <v>0</v>
      </c>
      <c r="AI117" s="11" t="s">
        <v>46</v>
      </c>
      <c r="AJ117" s="25">
        <f t="shared" si="123"/>
        <v>0</v>
      </c>
      <c r="AK117" s="25">
        <f t="shared" si="124"/>
        <v>0</v>
      </c>
      <c r="AL117" s="25">
        <f t="shared" si="125"/>
        <v>0</v>
      </c>
      <c r="AN117" s="25">
        <v>21</v>
      </c>
      <c r="AO117" s="25">
        <f>G117*0</f>
        <v>0</v>
      </c>
      <c r="AP117" s="25">
        <f>G117*(1-0)</f>
        <v>0</v>
      </c>
      <c r="AQ117" s="27" t="s">
        <v>49</v>
      </c>
      <c r="AV117" s="25">
        <f t="shared" si="126"/>
        <v>0</v>
      </c>
      <c r="AW117" s="25">
        <f t="shared" si="127"/>
        <v>0</v>
      </c>
      <c r="AX117" s="25">
        <f t="shared" si="128"/>
        <v>0</v>
      </c>
      <c r="AY117" s="27" t="s">
        <v>354</v>
      </c>
      <c r="AZ117" s="27" t="s">
        <v>305</v>
      </c>
      <c r="BA117" s="11" t="s">
        <v>56</v>
      </c>
      <c r="BC117" s="25">
        <f t="shared" si="129"/>
        <v>0</v>
      </c>
      <c r="BD117" s="25">
        <f t="shared" si="130"/>
        <v>0</v>
      </c>
      <c r="BE117" s="25">
        <v>0</v>
      </c>
      <c r="BF117" s="25">
        <f>117</f>
        <v>117</v>
      </c>
      <c r="BH117" s="25">
        <f t="shared" si="131"/>
        <v>0</v>
      </c>
      <c r="BI117" s="25">
        <f t="shared" si="132"/>
        <v>0</v>
      </c>
      <c r="BJ117" s="25">
        <f t="shared" si="133"/>
        <v>0</v>
      </c>
      <c r="BK117" s="27" t="s">
        <v>57</v>
      </c>
      <c r="BL117" s="25">
        <v>96</v>
      </c>
      <c r="BW117" s="25">
        <v>21</v>
      </c>
      <c r="BX117" s="5" t="s">
        <v>369</v>
      </c>
    </row>
    <row r="118" spans="1:76" x14ac:dyDescent="0.25">
      <c r="A118" s="2" t="s">
        <v>349</v>
      </c>
      <c r="B118" s="3" t="s">
        <v>370</v>
      </c>
      <c r="C118" s="93" t="s">
        <v>371</v>
      </c>
      <c r="D118" s="94"/>
      <c r="E118" s="3" t="s">
        <v>93</v>
      </c>
      <c r="F118" s="25">
        <v>14.478999999999999</v>
      </c>
      <c r="G118" s="25">
        <v>0</v>
      </c>
      <c r="H118" s="25">
        <f t="shared" si="112"/>
        <v>0</v>
      </c>
      <c r="I118" s="25">
        <f t="shared" si="113"/>
        <v>0</v>
      </c>
      <c r="J118" s="25">
        <f t="shared" si="114"/>
        <v>0</v>
      </c>
      <c r="K118" s="26" t="s">
        <v>53</v>
      </c>
      <c r="Z118" s="25">
        <f t="shared" si="115"/>
        <v>0</v>
      </c>
      <c r="AB118" s="25">
        <f t="shared" si="116"/>
        <v>0</v>
      </c>
      <c r="AC118" s="25">
        <f t="shared" si="117"/>
        <v>0</v>
      </c>
      <c r="AD118" s="25">
        <f t="shared" si="118"/>
        <v>0</v>
      </c>
      <c r="AE118" s="25">
        <f t="shared" si="119"/>
        <v>0</v>
      </c>
      <c r="AF118" s="25">
        <f t="shared" si="120"/>
        <v>0</v>
      </c>
      <c r="AG118" s="25">
        <f t="shared" si="121"/>
        <v>0</v>
      </c>
      <c r="AH118" s="25">
        <f t="shared" si="122"/>
        <v>0</v>
      </c>
      <c r="AI118" s="11" t="s">
        <v>46</v>
      </c>
      <c r="AJ118" s="25">
        <f t="shared" si="123"/>
        <v>0</v>
      </c>
      <c r="AK118" s="25">
        <f t="shared" si="124"/>
        <v>0</v>
      </c>
      <c r="AL118" s="25">
        <f t="shared" si="125"/>
        <v>0</v>
      </c>
      <c r="AN118" s="25">
        <v>21</v>
      </c>
      <c r="AO118" s="25">
        <f>G118*0</f>
        <v>0</v>
      </c>
      <c r="AP118" s="25">
        <f>G118*(1-0)</f>
        <v>0</v>
      </c>
      <c r="AQ118" s="27" t="s">
        <v>49</v>
      </c>
      <c r="AV118" s="25">
        <f t="shared" si="126"/>
        <v>0</v>
      </c>
      <c r="AW118" s="25">
        <f t="shared" si="127"/>
        <v>0</v>
      </c>
      <c r="AX118" s="25">
        <f t="shared" si="128"/>
        <v>0</v>
      </c>
      <c r="AY118" s="27" t="s">
        <v>354</v>
      </c>
      <c r="AZ118" s="27" t="s">
        <v>305</v>
      </c>
      <c r="BA118" s="11" t="s">
        <v>56</v>
      </c>
      <c r="BC118" s="25">
        <f t="shared" si="129"/>
        <v>0</v>
      </c>
      <c r="BD118" s="25">
        <f t="shared" si="130"/>
        <v>0</v>
      </c>
      <c r="BE118" s="25">
        <v>0</v>
      </c>
      <c r="BF118" s="25">
        <f>118</f>
        <v>118</v>
      </c>
      <c r="BH118" s="25">
        <f t="shared" si="131"/>
        <v>0</v>
      </c>
      <c r="BI118" s="25">
        <f t="shared" si="132"/>
        <v>0</v>
      </c>
      <c r="BJ118" s="25">
        <f t="shared" si="133"/>
        <v>0</v>
      </c>
      <c r="BK118" s="27" t="s">
        <v>57</v>
      </c>
      <c r="BL118" s="25">
        <v>96</v>
      </c>
      <c r="BW118" s="25">
        <v>21</v>
      </c>
      <c r="BX118" s="5" t="s">
        <v>371</v>
      </c>
    </row>
    <row r="119" spans="1:76" x14ac:dyDescent="0.25">
      <c r="A119" s="2" t="s">
        <v>372</v>
      </c>
      <c r="B119" s="3" t="s">
        <v>373</v>
      </c>
      <c r="C119" s="93" t="s">
        <v>374</v>
      </c>
      <c r="D119" s="94"/>
      <c r="E119" s="3" t="s">
        <v>93</v>
      </c>
      <c r="F119" s="25">
        <v>126.56</v>
      </c>
      <c r="G119" s="25">
        <v>0</v>
      </c>
      <c r="H119" s="25">
        <f t="shared" si="112"/>
        <v>0</v>
      </c>
      <c r="I119" s="25">
        <f t="shared" si="113"/>
        <v>0</v>
      </c>
      <c r="J119" s="25">
        <f t="shared" si="114"/>
        <v>0</v>
      </c>
      <c r="K119" s="26" t="s">
        <v>53</v>
      </c>
      <c r="Z119" s="25">
        <f t="shared" si="115"/>
        <v>0</v>
      </c>
      <c r="AB119" s="25">
        <f t="shared" si="116"/>
        <v>0</v>
      </c>
      <c r="AC119" s="25">
        <f t="shared" si="117"/>
        <v>0</v>
      </c>
      <c r="AD119" s="25">
        <f t="shared" si="118"/>
        <v>0</v>
      </c>
      <c r="AE119" s="25">
        <f t="shared" si="119"/>
        <v>0</v>
      </c>
      <c r="AF119" s="25">
        <f t="shared" si="120"/>
        <v>0</v>
      </c>
      <c r="AG119" s="25">
        <f t="shared" si="121"/>
        <v>0</v>
      </c>
      <c r="AH119" s="25">
        <f t="shared" si="122"/>
        <v>0</v>
      </c>
      <c r="AI119" s="11" t="s">
        <v>46</v>
      </c>
      <c r="AJ119" s="25">
        <f t="shared" si="123"/>
        <v>0</v>
      </c>
      <c r="AK119" s="25">
        <f t="shared" si="124"/>
        <v>0</v>
      </c>
      <c r="AL119" s="25">
        <f t="shared" si="125"/>
        <v>0</v>
      </c>
      <c r="AN119" s="25">
        <v>21</v>
      </c>
      <c r="AO119" s="25">
        <f>G119*0.047073017</f>
        <v>0</v>
      </c>
      <c r="AP119" s="25">
        <f>G119*(1-0.047073017)</f>
        <v>0</v>
      </c>
      <c r="AQ119" s="27" t="s">
        <v>49</v>
      </c>
      <c r="AV119" s="25">
        <f t="shared" si="126"/>
        <v>0</v>
      </c>
      <c r="AW119" s="25">
        <f t="shared" si="127"/>
        <v>0</v>
      </c>
      <c r="AX119" s="25">
        <f t="shared" si="128"/>
        <v>0</v>
      </c>
      <c r="AY119" s="27" t="s">
        <v>354</v>
      </c>
      <c r="AZ119" s="27" t="s">
        <v>305</v>
      </c>
      <c r="BA119" s="11" t="s">
        <v>56</v>
      </c>
      <c r="BC119" s="25">
        <f t="shared" si="129"/>
        <v>0</v>
      </c>
      <c r="BD119" s="25">
        <f t="shared" si="130"/>
        <v>0</v>
      </c>
      <c r="BE119" s="25">
        <v>0</v>
      </c>
      <c r="BF119" s="25">
        <f>119</f>
        <v>119</v>
      </c>
      <c r="BH119" s="25">
        <f t="shared" si="131"/>
        <v>0</v>
      </c>
      <c r="BI119" s="25">
        <f t="shared" si="132"/>
        <v>0</v>
      </c>
      <c r="BJ119" s="25">
        <f t="shared" si="133"/>
        <v>0</v>
      </c>
      <c r="BK119" s="27" t="s">
        <v>57</v>
      </c>
      <c r="BL119" s="25">
        <v>96</v>
      </c>
      <c r="BW119" s="25">
        <v>21</v>
      </c>
      <c r="BX119" s="5" t="s">
        <v>374</v>
      </c>
    </row>
    <row r="120" spans="1:76" ht="25.5" x14ac:dyDescent="0.25">
      <c r="A120" s="2" t="s">
        <v>375</v>
      </c>
      <c r="B120" s="3" t="s">
        <v>376</v>
      </c>
      <c r="C120" s="93" t="s">
        <v>377</v>
      </c>
      <c r="D120" s="94"/>
      <c r="E120" s="3" t="s">
        <v>93</v>
      </c>
      <c r="F120" s="25">
        <v>459.79199999999997</v>
      </c>
      <c r="G120" s="25">
        <v>0</v>
      </c>
      <c r="H120" s="25">
        <f t="shared" si="112"/>
        <v>0</v>
      </c>
      <c r="I120" s="25">
        <f t="shared" si="113"/>
        <v>0</v>
      </c>
      <c r="J120" s="25">
        <f t="shared" si="114"/>
        <v>0</v>
      </c>
      <c r="K120" s="26" t="s">
        <v>53</v>
      </c>
      <c r="Z120" s="25">
        <f t="shared" si="115"/>
        <v>0</v>
      </c>
      <c r="AB120" s="25">
        <f t="shared" si="116"/>
        <v>0</v>
      </c>
      <c r="AC120" s="25">
        <f t="shared" si="117"/>
        <v>0</v>
      </c>
      <c r="AD120" s="25">
        <f t="shared" si="118"/>
        <v>0</v>
      </c>
      <c r="AE120" s="25">
        <f t="shared" si="119"/>
        <v>0</v>
      </c>
      <c r="AF120" s="25">
        <f t="shared" si="120"/>
        <v>0</v>
      </c>
      <c r="AG120" s="25">
        <f t="shared" si="121"/>
        <v>0</v>
      </c>
      <c r="AH120" s="25">
        <f t="shared" si="122"/>
        <v>0</v>
      </c>
      <c r="AI120" s="11" t="s">
        <v>46</v>
      </c>
      <c r="AJ120" s="25">
        <f t="shared" si="123"/>
        <v>0</v>
      </c>
      <c r="AK120" s="25">
        <f t="shared" si="124"/>
        <v>0</v>
      </c>
      <c r="AL120" s="25">
        <f t="shared" si="125"/>
        <v>0</v>
      </c>
      <c r="AN120" s="25">
        <v>21</v>
      </c>
      <c r="AO120" s="25">
        <f>G120*0.035028472</f>
        <v>0</v>
      </c>
      <c r="AP120" s="25">
        <f>G120*(1-0.035028472)</f>
        <v>0</v>
      </c>
      <c r="AQ120" s="27" t="s">
        <v>49</v>
      </c>
      <c r="AV120" s="25">
        <f t="shared" si="126"/>
        <v>0</v>
      </c>
      <c r="AW120" s="25">
        <f t="shared" si="127"/>
        <v>0</v>
      </c>
      <c r="AX120" s="25">
        <f t="shared" si="128"/>
        <v>0</v>
      </c>
      <c r="AY120" s="27" t="s">
        <v>354</v>
      </c>
      <c r="AZ120" s="27" t="s">
        <v>305</v>
      </c>
      <c r="BA120" s="11" t="s">
        <v>56</v>
      </c>
      <c r="BC120" s="25">
        <f t="shared" si="129"/>
        <v>0</v>
      </c>
      <c r="BD120" s="25">
        <f t="shared" si="130"/>
        <v>0</v>
      </c>
      <c r="BE120" s="25">
        <v>0</v>
      </c>
      <c r="BF120" s="25">
        <f>120</f>
        <v>120</v>
      </c>
      <c r="BH120" s="25">
        <f t="shared" si="131"/>
        <v>0</v>
      </c>
      <c r="BI120" s="25">
        <f t="shared" si="132"/>
        <v>0</v>
      </c>
      <c r="BJ120" s="25">
        <f t="shared" si="133"/>
        <v>0</v>
      </c>
      <c r="BK120" s="27" t="s">
        <v>57</v>
      </c>
      <c r="BL120" s="25">
        <v>96</v>
      </c>
      <c r="BW120" s="25">
        <v>21</v>
      </c>
      <c r="BX120" s="5" t="s">
        <v>377</v>
      </c>
    </row>
    <row r="121" spans="1:76" x14ac:dyDescent="0.25">
      <c r="A121" s="2" t="s">
        <v>378</v>
      </c>
      <c r="B121" s="3" t="s">
        <v>379</v>
      </c>
      <c r="C121" s="93" t="s">
        <v>380</v>
      </c>
      <c r="D121" s="94"/>
      <c r="E121" s="3" t="s">
        <v>93</v>
      </c>
      <c r="F121" s="25">
        <v>524.51499999999999</v>
      </c>
      <c r="G121" s="25">
        <v>0</v>
      </c>
      <c r="H121" s="25">
        <f t="shared" si="112"/>
        <v>0</v>
      </c>
      <c r="I121" s="25">
        <f t="shared" si="113"/>
        <v>0</v>
      </c>
      <c r="J121" s="25">
        <f t="shared" si="114"/>
        <v>0</v>
      </c>
      <c r="K121" s="26" t="s">
        <v>53</v>
      </c>
      <c r="Z121" s="25">
        <f t="shared" si="115"/>
        <v>0</v>
      </c>
      <c r="AB121" s="25">
        <f t="shared" si="116"/>
        <v>0</v>
      </c>
      <c r="AC121" s="25">
        <f t="shared" si="117"/>
        <v>0</v>
      </c>
      <c r="AD121" s="25">
        <f t="shared" si="118"/>
        <v>0</v>
      </c>
      <c r="AE121" s="25">
        <f t="shared" si="119"/>
        <v>0</v>
      </c>
      <c r="AF121" s="25">
        <f t="shared" si="120"/>
        <v>0</v>
      </c>
      <c r="AG121" s="25">
        <f t="shared" si="121"/>
        <v>0</v>
      </c>
      <c r="AH121" s="25">
        <f t="shared" si="122"/>
        <v>0</v>
      </c>
      <c r="AI121" s="11" t="s">
        <v>46</v>
      </c>
      <c r="AJ121" s="25">
        <f t="shared" si="123"/>
        <v>0</v>
      </c>
      <c r="AK121" s="25">
        <f t="shared" si="124"/>
        <v>0</v>
      </c>
      <c r="AL121" s="25">
        <f t="shared" si="125"/>
        <v>0</v>
      </c>
      <c r="AN121" s="25">
        <v>21</v>
      </c>
      <c r="AO121" s="25">
        <f>G121*0</f>
        <v>0</v>
      </c>
      <c r="AP121" s="25">
        <f>G121*(1-0)</f>
        <v>0</v>
      </c>
      <c r="AQ121" s="27" t="s">
        <v>49</v>
      </c>
      <c r="AV121" s="25">
        <f t="shared" si="126"/>
        <v>0</v>
      </c>
      <c r="AW121" s="25">
        <f t="shared" si="127"/>
        <v>0</v>
      </c>
      <c r="AX121" s="25">
        <f t="shared" si="128"/>
        <v>0</v>
      </c>
      <c r="AY121" s="27" t="s">
        <v>354</v>
      </c>
      <c r="AZ121" s="27" t="s">
        <v>305</v>
      </c>
      <c r="BA121" s="11" t="s">
        <v>56</v>
      </c>
      <c r="BC121" s="25">
        <f t="shared" si="129"/>
        <v>0</v>
      </c>
      <c r="BD121" s="25">
        <f t="shared" si="130"/>
        <v>0</v>
      </c>
      <c r="BE121" s="25">
        <v>0</v>
      </c>
      <c r="BF121" s="25">
        <f>121</f>
        <v>121</v>
      </c>
      <c r="BH121" s="25">
        <f t="shared" si="131"/>
        <v>0</v>
      </c>
      <c r="BI121" s="25">
        <f t="shared" si="132"/>
        <v>0</v>
      </c>
      <c r="BJ121" s="25">
        <f t="shared" si="133"/>
        <v>0</v>
      </c>
      <c r="BK121" s="27" t="s">
        <v>57</v>
      </c>
      <c r="BL121" s="25">
        <v>96</v>
      </c>
      <c r="BW121" s="25">
        <v>21</v>
      </c>
      <c r="BX121" s="5" t="s">
        <v>380</v>
      </c>
    </row>
    <row r="122" spans="1:76" ht="25.5" x14ac:dyDescent="0.25">
      <c r="A122" s="2" t="s">
        <v>381</v>
      </c>
      <c r="B122" s="3" t="s">
        <v>382</v>
      </c>
      <c r="C122" s="93" t="s">
        <v>383</v>
      </c>
      <c r="D122" s="94"/>
      <c r="E122" s="3" t="s">
        <v>93</v>
      </c>
      <c r="F122" s="25">
        <v>524.51499999999999</v>
      </c>
      <c r="G122" s="25">
        <v>0</v>
      </c>
      <c r="H122" s="25">
        <f t="shared" si="112"/>
        <v>0</v>
      </c>
      <c r="I122" s="25">
        <f t="shared" si="113"/>
        <v>0</v>
      </c>
      <c r="J122" s="25">
        <f t="shared" si="114"/>
        <v>0</v>
      </c>
      <c r="K122" s="26" t="s">
        <v>53</v>
      </c>
      <c r="Z122" s="25">
        <f t="shared" si="115"/>
        <v>0</v>
      </c>
      <c r="AB122" s="25">
        <f t="shared" si="116"/>
        <v>0</v>
      </c>
      <c r="AC122" s="25">
        <f t="shared" si="117"/>
        <v>0</v>
      </c>
      <c r="AD122" s="25">
        <f t="shared" si="118"/>
        <v>0</v>
      </c>
      <c r="AE122" s="25">
        <f t="shared" si="119"/>
        <v>0</v>
      </c>
      <c r="AF122" s="25">
        <f t="shared" si="120"/>
        <v>0</v>
      </c>
      <c r="AG122" s="25">
        <f t="shared" si="121"/>
        <v>0</v>
      </c>
      <c r="AH122" s="25">
        <f t="shared" si="122"/>
        <v>0</v>
      </c>
      <c r="AI122" s="11" t="s">
        <v>46</v>
      </c>
      <c r="AJ122" s="25">
        <f t="shared" si="123"/>
        <v>0</v>
      </c>
      <c r="AK122" s="25">
        <f t="shared" si="124"/>
        <v>0</v>
      </c>
      <c r="AL122" s="25">
        <f t="shared" si="125"/>
        <v>0</v>
      </c>
      <c r="AN122" s="25">
        <v>21</v>
      </c>
      <c r="AO122" s="25">
        <f>G122*0</f>
        <v>0</v>
      </c>
      <c r="AP122" s="25">
        <f>G122*(1-0)</f>
        <v>0</v>
      </c>
      <c r="AQ122" s="27" t="s">
        <v>49</v>
      </c>
      <c r="AV122" s="25">
        <f t="shared" si="126"/>
        <v>0</v>
      </c>
      <c r="AW122" s="25">
        <f t="shared" si="127"/>
        <v>0</v>
      </c>
      <c r="AX122" s="25">
        <f t="shared" si="128"/>
        <v>0</v>
      </c>
      <c r="AY122" s="27" t="s">
        <v>354</v>
      </c>
      <c r="AZ122" s="27" t="s">
        <v>305</v>
      </c>
      <c r="BA122" s="11" t="s">
        <v>56</v>
      </c>
      <c r="BC122" s="25">
        <f t="shared" si="129"/>
        <v>0</v>
      </c>
      <c r="BD122" s="25">
        <f t="shared" si="130"/>
        <v>0</v>
      </c>
      <c r="BE122" s="25">
        <v>0</v>
      </c>
      <c r="BF122" s="25">
        <f>122</f>
        <v>122</v>
      </c>
      <c r="BH122" s="25">
        <f t="shared" si="131"/>
        <v>0</v>
      </c>
      <c r="BI122" s="25">
        <f t="shared" si="132"/>
        <v>0</v>
      </c>
      <c r="BJ122" s="25">
        <f t="shared" si="133"/>
        <v>0</v>
      </c>
      <c r="BK122" s="27" t="s">
        <v>57</v>
      </c>
      <c r="BL122" s="25">
        <v>96</v>
      </c>
      <c r="BW122" s="25">
        <v>21</v>
      </c>
      <c r="BX122" s="5" t="s">
        <v>383</v>
      </c>
    </row>
    <row r="123" spans="1:76" x14ac:dyDescent="0.25">
      <c r="A123" s="2" t="s">
        <v>384</v>
      </c>
      <c r="B123" s="3" t="s">
        <v>385</v>
      </c>
      <c r="C123" s="93" t="s">
        <v>386</v>
      </c>
      <c r="D123" s="94"/>
      <c r="E123" s="3" t="s">
        <v>93</v>
      </c>
      <c r="F123" s="25">
        <v>66.489999999999995</v>
      </c>
      <c r="G123" s="25">
        <v>0</v>
      </c>
      <c r="H123" s="25">
        <f t="shared" si="112"/>
        <v>0</v>
      </c>
      <c r="I123" s="25">
        <f t="shared" si="113"/>
        <v>0</v>
      </c>
      <c r="J123" s="25">
        <f t="shared" si="114"/>
        <v>0</v>
      </c>
      <c r="K123" s="26" t="s">
        <v>53</v>
      </c>
      <c r="Z123" s="25">
        <f t="shared" si="115"/>
        <v>0</v>
      </c>
      <c r="AB123" s="25">
        <f t="shared" si="116"/>
        <v>0</v>
      </c>
      <c r="AC123" s="25">
        <f t="shared" si="117"/>
        <v>0</v>
      </c>
      <c r="AD123" s="25">
        <f t="shared" si="118"/>
        <v>0</v>
      </c>
      <c r="AE123" s="25">
        <f t="shared" si="119"/>
        <v>0</v>
      </c>
      <c r="AF123" s="25">
        <f t="shared" si="120"/>
        <v>0</v>
      </c>
      <c r="AG123" s="25">
        <f t="shared" si="121"/>
        <v>0</v>
      </c>
      <c r="AH123" s="25">
        <f t="shared" si="122"/>
        <v>0</v>
      </c>
      <c r="AI123" s="11" t="s">
        <v>46</v>
      </c>
      <c r="AJ123" s="25">
        <f t="shared" si="123"/>
        <v>0</v>
      </c>
      <c r="AK123" s="25">
        <f t="shared" si="124"/>
        <v>0</v>
      </c>
      <c r="AL123" s="25">
        <f t="shared" si="125"/>
        <v>0</v>
      </c>
      <c r="AN123" s="25">
        <v>21</v>
      </c>
      <c r="AO123" s="25">
        <f>G123*0</f>
        <v>0</v>
      </c>
      <c r="AP123" s="25">
        <f>G123*(1-0)</f>
        <v>0</v>
      </c>
      <c r="AQ123" s="27" t="s">
        <v>49</v>
      </c>
      <c r="AV123" s="25">
        <f t="shared" si="126"/>
        <v>0</v>
      </c>
      <c r="AW123" s="25">
        <f t="shared" si="127"/>
        <v>0</v>
      </c>
      <c r="AX123" s="25">
        <f t="shared" si="128"/>
        <v>0</v>
      </c>
      <c r="AY123" s="27" t="s">
        <v>354</v>
      </c>
      <c r="AZ123" s="27" t="s">
        <v>305</v>
      </c>
      <c r="BA123" s="11" t="s">
        <v>56</v>
      </c>
      <c r="BC123" s="25">
        <f t="shared" si="129"/>
        <v>0</v>
      </c>
      <c r="BD123" s="25">
        <f t="shared" si="130"/>
        <v>0</v>
      </c>
      <c r="BE123" s="25">
        <v>0</v>
      </c>
      <c r="BF123" s="25">
        <f>123</f>
        <v>123</v>
      </c>
      <c r="BH123" s="25">
        <f t="shared" si="131"/>
        <v>0</v>
      </c>
      <c r="BI123" s="25">
        <f t="shared" si="132"/>
        <v>0</v>
      </c>
      <c r="BJ123" s="25">
        <f t="shared" si="133"/>
        <v>0</v>
      </c>
      <c r="BK123" s="27" t="s">
        <v>57</v>
      </c>
      <c r="BL123" s="25">
        <v>96</v>
      </c>
      <c r="BW123" s="25">
        <v>21</v>
      </c>
      <c r="BX123" s="5" t="s">
        <v>386</v>
      </c>
    </row>
    <row r="124" spans="1:76" x14ac:dyDescent="0.25">
      <c r="A124" s="2" t="s">
        <v>387</v>
      </c>
      <c r="B124" s="3" t="s">
        <v>388</v>
      </c>
      <c r="C124" s="93" t="s">
        <v>389</v>
      </c>
      <c r="D124" s="94"/>
      <c r="E124" s="3" t="s">
        <v>93</v>
      </c>
      <c r="F124" s="25">
        <v>431.88</v>
      </c>
      <c r="G124" s="25">
        <v>0</v>
      </c>
      <c r="H124" s="25">
        <f t="shared" si="112"/>
        <v>0</v>
      </c>
      <c r="I124" s="25">
        <f t="shared" si="113"/>
        <v>0</v>
      </c>
      <c r="J124" s="25">
        <f t="shared" si="114"/>
        <v>0</v>
      </c>
      <c r="K124" s="26" t="s">
        <v>53</v>
      </c>
      <c r="Z124" s="25">
        <f t="shared" si="115"/>
        <v>0</v>
      </c>
      <c r="AB124" s="25">
        <f t="shared" si="116"/>
        <v>0</v>
      </c>
      <c r="AC124" s="25">
        <f t="shared" si="117"/>
        <v>0</v>
      </c>
      <c r="AD124" s="25">
        <f t="shared" si="118"/>
        <v>0</v>
      </c>
      <c r="AE124" s="25">
        <f t="shared" si="119"/>
        <v>0</v>
      </c>
      <c r="AF124" s="25">
        <f t="shared" si="120"/>
        <v>0</v>
      </c>
      <c r="AG124" s="25">
        <f t="shared" si="121"/>
        <v>0</v>
      </c>
      <c r="AH124" s="25">
        <f t="shared" si="122"/>
        <v>0</v>
      </c>
      <c r="AI124" s="11" t="s">
        <v>46</v>
      </c>
      <c r="AJ124" s="25">
        <f t="shared" si="123"/>
        <v>0</v>
      </c>
      <c r="AK124" s="25">
        <f t="shared" si="124"/>
        <v>0</v>
      </c>
      <c r="AL124" s="25">
        <f t="shared" si="125"/>
        <v>0</v>
      </c>
      <c r="AN124" s="25">
        <v>21</v>
      </c>
      <c r="AO124" s="25">
        <f>G124*0</f>
        <v>0</v>
      </c>
      <c r="AP124" s="25">
        <f>G124*(1-0)</f>
        <v>0</v>
      </c>
      <c r="AQ124" s="27" t="s">
        <v>49</v>
      </c>
      <c r="AV124" s="25">
        <f t="shared" si="126"/>
        <v>0</v>
      </c>
      <c r="AW124" s="25">
        <f t="shared" si="127"/>
        <v>0</v>
      </c>
      <c r="AX124" s="25">
        <f t="shared" si="128"/>
        <v>0</v>
      </c>
      <c r="AY124" s="27" t="s">
        <v>354</v>
      </c>
      <c r="AZ124" s="27" t="s">
        <v>305</v>
      </c>
      <c r="BA124" s="11" t="s">
        <v>56</v>
      </c>
      <c r="BC124" s="25">
        <f t="shared" si="129"/>
        <v>0</v>
      </c>
      <c r="BD124" s="25">
        <f t="shared" si="130"/>
        <v>0</v>
      </c>
      <c r="BE124" s="25">
        <v>0</v>
      </c>
      <c r="BF124" s="25">
        <f>124</f>
        <v>124</v>
      </c>
      <c r="BH124" s="25">
        <f t="shared" si="131"/>
        <v>0</v>
      </c>
      <c r="BI124" s="25">
        <f t="shared" si="132"/>
        <v>0</v>
      </c>
      <c r="BJ124" s="25">
        <f t="shared" si="133"/>
        <v>0</v>
      </c>
      <c r="BK124" s="27" t="s">
        <v>57</v>
      </c>
      <c r="BL124" s="25">
        <v>96</v>
      </c>
      <c r="BW124" s="25">
        <v>21</v>
      </c>
      <c r="BX124" s="5" t="s">
        <v>389</v>
      </c>
    </row>
    <row r="125" spans="1:76" x14ac:dyDescent="0.25">
      <c r="A125" s="2" t="s">
        <v>390</v>
      </c>
      <c r="B125" s="3" t="s">
        <v>391</v>
      </c>
      <c r="C125" s="93" t="s">
        <v>392</v>
      </c>
      <c r="D125" s="94"/>
      <c r="E125" s="3" t="s">
        <v>93</v>
      </c>
      <c r="F125" s="25">
        <v>67.209999999999994</v>
      </c>
      <c r="G125" s="25">
        <v>0</v>
      </c>
      <c r="H125" s="25">
        <f t="shared" si="112"/>
        <v>0</v>
      </c>
      <c r="I125" s="25">
        <f t="shared" si="113"/>
        <v>0</v>
      </c>
      <c r="J125" s="25">
        <f t="shared" si="114"/>
        <v>0</v>
      </c>
      <c r="K125" s="26" t="s">
        <v>53</v>
      </c>
      <c r="Z125" s="25">
        <f t="shared" si="115"/>
        <v>0</v>
      </c>
      <c r="AB125" s="25">
        <f t="shared" si="116"/>
        <v>0</v>
      </c>
      <c r="AC125" s="25">
        <f t="shared" si="117"/>
        <v>0</v>
      </c>
      <c r="AD125" s="25">
        <f t="shared" si="118"/>
        <v>0</v>
      </c>
      <c r="AE125" s="25">
        <f t="shared" si="119"/>
        <v>0</v>
      </c>
      <c r="AF125" s="25">
        <f t="shared" si="120"/>
        <v>0</v>
      </c>
      <c r="AG125" s="25">
        <f t="shared" si="121"/>
        <v>0</v>
      </c>
      <c r="AH125" s="25">
        <f t="shared" si="122"/>
        <v>0</v>
      </c>
      <c r="AI125" s="11" t="s">
        <v>46</v>
      </c>
      <c r="AJ125" s="25">
        <f t="shared" si="123"/>
        <v>0</v>
      </c>
      <c r="AK125" s="25">
        <f t="shared" si="124"/>
        <v>0</v>
      </c>
      <c r="AL125" s="25">
        <f t="shared" si="125"/>
        <v>0</v>
      </c>
      <c r="AN125" s="25">
        <v>21</v>
      </c>
      <c r="AO125" s="25">
        <f>G125*0</f>
        <v>0</v>
      </c>
      <c r="AP125" s="25">
        <f>G125*(1-0)</f>
        <v>0</v>
      </c>
      <c r="AQ125" s="27" t="s">
        <v>49</v>
      </c>
      <c r="AV125" s="25">
        <f t="shared" si="126"/>
        <v>0</v>
      </c>
      <c r="AW125" s="25">
        <f t="shared" si="127"/>
        <v>0</v>
      </c>
      <c r="AX125" s="25">
        <f t="shared" si="128"/>
        <v>0</v>
      </c>
      <c r="AY125" s="27" t="s">
        <v>354</v>
      </c>
      <c r="AZ125" s="27" t="s">
        <v>305</v>
      </c>
      <c r="BA125" s="11" t="s">
        <v>56</v>
      </c>
      <c r="BC125" s="25">
        <f t="shared" si="129"/>
        <v>0</v>
      </c>
      <c r="BD125" s="25">
        <f t="shared" si="130"/>
        <v>0</v>
      </c>
      <c r="BE125" s="25">
        <v>0</v>
      </c>
      <c r="BF125" s="25">
        <f>125</f>
        <v>125</v>
      </c>
      <c r="BH125" s="25">
        <f t="shared" si="131"/>
        <v>0</v>
      </c>
      <c r="BI125" s="25">
        <f t="shared" si="132"/>
        <v>0</v>
      </c>
      <c r="BJ125" s="25">
        <f t="shared" si="133"/>
        <v>0</v>
      </c>
      <c r="BK125" s="27" t="s">
        <v>57</v>
      </c>
      <c r="BL125" s="25">
        <v>96</v>
      </c>
      <c r="BW125" s="25">
        <v>21</v>
      </c>
      <c r="BX125" s="5" t="s">
        <v>392</v>
      </c>
    </row>
    <row r="126" spans="1:76" x14ac:dyDescent="0.25">
      <c r="A126" s="2" t="s">
        <v>393</v>
      </c>
      <c r="B126" s="3" t="s">
        <v>394</v>
      </c>
      <c r="C126" s="93" t="s">
        <v>395</v>
      </c>
      <c r="D126" s="94"/>
      <c r="E126" s="3" t="s">
        <v>52</v>
      </c>
      <c r="F126" s="25">
        <v>1</v>
      </c>
      <c r="G126" s="25">
        <v>0</v>
      </c>
      <c r="H126" s="25">
        <f t="shared" si="112"/>
        <v>0</v>
      </c>
      <c r="I126" s="25">
        <f t="shared" si="113"/>
        <v>0</v>
      </c>
      <c r="J126" s="25">
        <f t="shared" si="114"/>
        <v>0</v>
      </c>
      <c r="K126" s="26" t="s">
        <v>53</v>
      </c>
      <c r="Z126" s="25">
        <f t="shared" si="115"/>
        <v>0</v>
      </c>
      <c r="AB126" s="25">
        <f t="shared" si="116"/>
        <v>0</v>
      </c>
      <c r="AC126" s="25">
        <f t="shared" si="117"/>
        <v>0</v>
      </c>
      <c r="AD126" s="25">
        <f t="shared" si="118"/>
        <v>0</v>
      </c>
      <c r="AE126" s="25">
        <f t="shared" si="119"/>
        <v>0</v>
      </c>
      <c r="AF126" s="25">
        <f t="shared" si="120"/>
        <v>0</v>
      </c>
      <c r="AG126" s="25">
        <f t="shared" si="121"/>
        <v>0</v>
      </c>
      <c r="AH126" s="25">
        <f t="shared" si="122"/>
        <v>0</v>
      </c>
      <c r="AI126" s="11" t="s">
        <v>46</v>
      </c>
      <c r="AJ126" s="25">
        <f t="shared" si="123"/>
        <v>0</v>
      </c>
      <c r="AK126" s="25">
        <f t="shared" si="124"/>
        <v>0</v>
      </c>
      <c r="AL126" s="25">
        <f t="shared" si="125"/>
        <v>0</v>
      </c>
      <c r="AN126" s="25">
        <v>21</v>
      </c>
      <c r="AO126" s="25">
        <f>G126*0.000071582</f>
        <v>0</v>
      </c>
      <c r="AP126" s="25">
        <f>G126*(1-0.000071582)</f>
        <v>0</v>
      </c>
      <c r="AQ126" s="27" t="s">
        <v>49</v>
      </c>
      <c r="AV126" s="25">
        <f t="shared" si="126"/>
        <v>0</v>
      </c>
      <c r="AW126" s="25">
        <f t="shared" si="127"/>
        <v>0</v>
      </c>
      <c r="AX126" s="25">
        <f t="shared" si="128"/>
        <v>0</v>
      </c>
      <c r="AY126" s="27" t="s">
        <v>354</v>
      </c>
      <c r="AZ126" s="27" t="s">
        <v>305</v>
      </c>
      <c r="BA126" s="11" t="s">
        <v>56</v>
      </c>
      <c r="BC126" s="25">
        <f t="shared" si="129"/>
        <v>0</v>
      </c>
      <c r="BD126" s="25">
        <f t="shared" si="130"/>
        <v>0</v>
      </c>
      <c r="BE126" s="25">
        <v>0</v>
      </c>
      <c r="BF126" s="25">
        <f>126</f>
        <v>126</v>
      </c>
      <c r="BH126" s="25">
        <f t="shared" si="131"/>
        <v>0</v>
      </c>
      <c r="BI126" s="25">
        <f t="shared" si="132"/>
        <v>0</v>
      </c>
      <c r="BJ126" s="25">
        <f t="shared" si="133"/>
        <v>0</v>
      </c>
      <c r="BK126" s="27" t="s">
        <v>57</v>
      </c>
      <c r="BL126" s="25">
        <v>96</v>
      </c>
      <c r="BW126" s="25">
        <v>21</v>
      </c>
      <c r="BX126" s="5" t="s">
        <v>395</v>
      </c>
    </row>
    <row r="127" spans="1:76" x14ac:dyDescent="0.25">
      <c r="A127" s="2" t="s">
        <v>396</v>
      </c>
      <c r="B127" s="3" t="s">
        <v>397</v>
      </c>
      <c r="C127" s="93" t="s">
        <v>398</v>
      </c>
      <c r="D127" s="94"/>
      <c r="E127" s="3" t="s">
        <v>131</v>
      </c>
      <c r="F127" s="25">
        <v>151.01</v>
      </c>
      <c r="G127" s="25">
        <v>0</v>
      </c>
      <c r="H127" s="25">
        <f t="shared" si="112"/>
        <v>0</v>
      </c>
      <c r="I127" s="25">
        <f t="shared" si="113"/>
        <v>0</v>
      </c>
      <c r="J127" s="25">
        <f t="shared" si="114"/>
        <v>0</v>
      </c>
      <c r="K127" s="26" t="s">
        <v>53</v>
      </c>
      <c r="Z127" s="25">
        <f t="shared" si="115"/>
        <v>0</v>
      </c>
      <c r="AB127" s="25">
        <f t="shared" si="116"/>
        <v>0</v>
      </c>
      <c r="AC127" s="25">
        <f t="shared" si="117"/>
        <v>0</v>
      </c>
      <c r="AD127" s="25">
        <f t="shared" si="118"/>
        <v>0</v>
      </c>
      <c r="AE127" s="25">
        <f t="shared" si="119"/>
        <v>0</v>
      </c>
      <c r="AF127" s="25">
        <f t="shared" si="120"/>
        <v>0</v>
      </c>
      <c r="AG127" s="25">
        <f t="shared" si="121"/>
        <v>0</v>
      </c>
      <c r="AH127" s="25">
        <f t="shared" si="122"/>
        <v>0</v>
      </c>
      <c r="AI127" s="11" t="s">
        <v>46</v>
      </c>
      <c r="AJ127" s="25">
        <f t="shared" si="123"/>
        <v>0</v>
      </c>
      <c r="AK127" s="25">
        <f t="shared" si="124"/>
        <v>0</v>
      </c>
      <c r="AL127" s="25">
        <f t="shared" si="125"/>
        <v>0</v>
      </c>
      <c r="AN127" s="25">
        <v>21</v>
      </c>
      <c r="AO127" s="25">
        <f t="shared" ref="AO127:AO137" si="134">G127*0</f>
        <v>0</v>
      </c>
      <c r="AP127" s="25">
        <f t="shared" ref="AP127:AP137" si="135">G127*(1-0)</f>
        <v>0</v>
      </c>
      <c r="AQ127" s="27" t="s">
        <v>49</v>
      </c>
      <c r="AV127" s="25">
        <f t="shared" si="126"/>
        <v>0</v>
      </c>
      <c r="AW127" s="25">
        <f t="shared" si="127"/>
        <v>0</v>
      </c>
      <c r="AX127" s="25">
        <f t="shared" si="128"/>
        <v>0</v>
      </c>
      <c r="AY127" s="27" t="s">
        <v>354</v>
      </c>
      <c r="AZ127" s="27" t="s">
        <v>305</v>
      </c>
      <c r="BA127" s="11" t="s">
        <v>56</v>
      </c>
      <c r="BC127" s="25">
        <f t="shared" si="129"/>
        <v>0</v>
      </c>
      <c r="BD127" s="25">
        <f t="shared" si="130"/>
        <v>0</v>
      </c>
      <c r="BE127" s="25">
        <v>0</v>
      </c>
      <c r="BF127" s="25">
        <f>127</f>
        <v>127</v>
      </c>
      <c r="BH127" s="25">
        <f t="shared" si="131"/>
        <v>0</v>
      </c>
      <c r="BI127" s="25">
        <f t="shared" si="132"/>
        <v>0</v>
      </c>
      <c r="BJ127" s="25">
        <f t="shared" si="133"/>
        <v>0</v>
      </c>
      <c r="BK127" s="27" t="s">
        <v>57</v>
      </c>
      <c r="BL127" s="25">
        <v>96</v>
      </c>
      <c r="BW127" s="25">
        <v>21</v>
      </c>
      <c r="BX127" s="5" t="s">
        <v>398</v>
      </c>
    </row>
    <row r="128" spans="1:76" x14ac:dyDescent="0.25">
      <c r="A128" s="2" t="s">
        <v>399</v>
      </c>
      <c r="B128" s="3" t="s">
        <v>400</v>
      </c>
      <c r="C128" s="93" t="s">
        <v>401</v>
      </c>
      <c r="D128" s="94"/>
      <c r="E128" s="3" t="s">
        <v>93</v>
      </c>
      <c r="F128" s="25">
        <v>75.989000000000004</v>
      </c>
      <c r="G128" s="25">
        <v>0</v>
      </c>
      <c r="H128" s="25">
        <f t="shared" si="112"/>
        <v>0</v>
      </c>
      <c r="I128" s="25">
        <f t="shared" si="113"/>
        <v>0</v>
      </c>
      <c r="J128" s="25">
        <f t="shared" si="114"/>
        <v>0</v>
      </c>
      <c r="K128" s="26" t="s">
        <v>53</v>
      </c>
      <c r="Z128" s="25">
        <f t="shared" si="115"/>
        <v>0</v>
      </c>
      <c r="AB128" s="25">
        <f t="shared" si="116"/>
        <v>0</v>
      </c>
      <c r="AC128" s="25">
        <f t="shared" si="117"/>
        <v>0</v>
      </c>
      <c r="AD128" s="25">
        <f t="shared" si="118"/>
        <v>0</v>
      </c>
      <c r="AE128" s="25">
        <f t="shared" si="119"/>
        <v>0</v>
      </c>
      <c r="AF128" s="25">
        <f t="shared" si="120"/>
        <v>0</v>
      </c>
      <c r="AG128" s="25">
        <f t="shared" si="121"/>
        <v>0</v>
      </c>
      <c r="AH128" s="25">
        <f t="shared" si="122"/>
        <v>0</v>
      </c>
      <c r="AI128" s="11" t="s">
        <v>46</v>
      </c>
      <c r="AJ128" s="25">
        <f t="shared" si="123"/>
        <v>0</v>
      </c>
      <c r="AK128" s="25">
        <f t="shared" si="124"/>
        <v>0</v>
      </c>
      <c r="AL128" s="25">
        <f t="shared" si="125"/>
        <v>0</v>
      </c>
      <c r="AN128" s="25">
        <v>21</v>
      </c>
      <c r="AO128" s="25">
        <f t="shared" si="134"/>
        <v>0</v>
      </c>
      <c r="AP128" s="25">
        <f t="shared" si="135"/>
        <v>0</v>
      </c>
      <c r="AQ128" s="27" t="s">
        <v>49</v>
      </c>
      <c r="AV128" s="25">
        <f t="shared" si="126"/>
        <v>0</v>
      </c>
      <c r="AW128" s="25">
        <f t="shared" si="127"/>
        <v>0</v>
      </c>
      <c r="AX128" s="25">
        <f t="shared" si="128"/>
        <v>0</v>
      </c>
      <c r="AY128" s="27" t="s">
        <v>354</v>
      </c>
      <c r="AZ128" s="27" t="s">
        <v>305</v>
      </c>
      <c r="BA128" s="11" t="s">
        <v>56</v>
      </c>
      <c r="BC128" s="25">
        <f t="shared" si="129"/>
        <v>0</v>
      </c>
      <c r="BD128" s="25">
        <f t="shared" si="130"/>
        <v>0</v>
      </c>
      <c r="BE128" s="25">
        <v>0</v>
      </c>
      <c r="BF128" s="25">
        <f>128</f>
        <v>128</v>
      </c>
      <c r="BH128" s="25">
        <f t="shared" si="131"/>
        <v>0</v>
      </c>
      <c r="BI128" s="25">
        <f t="shared" si="132"/>
        <v>0</v>
      </c>
      <c r="BJ128" s="25">
        <f t="shared" si="133"/>
        <v>0</v>
      </c>
      <c r="BK128" s="27" t="s">
        <v>57</v>
      </c>
      <c r="BL128" s="25">
        <v>96</v>
      </c>
      <c r="BW128" s="25">
        <v>21</v>
      </c>
      <c r="BX128" s="5" t="s">
        <v>401</v>
      </c>
    </row>
    <row r="129" spans="1:76" x14ac:dyDescent="0.25">
      <c r="A129" s="2" t="s">
        <v>402</v>
      </c>
      <c r="B129" s="3" t="s">
        <v>403</v>
      </c>
      <c r="C129" s="93" t="s">
        <v>404</v>
      </c>
      <c r="D129" s="94"/>
      <c r="E129" s="3" t="s">
        <v>131</v>
      </c>
      <c r="F129" s="25">
        <v>54.73</v>
      </c>
      <c r="G129" s="25">
        <v>0</v>
      </c>
      <c r="H129" s="25">
        <f t="shared" si="112"/>
        <v>0</v>
      </c>
      <c r="I129" s="25">
        <f t="shared" si="113"/>
        <v>0</v>
      </c>
      <c r="J129" s="25">
        <f t="shared" si="114"/>
        <v>0</v>
      </c>
      <c r="K129" s="26" t="s">
        <v>53</v>
      </c>
      <c r="Z129" s="25">
        <f t="shared" si="115"/>
        <v>0</v>
      </c>
      <c r="AB129" s="25">
        <f t="shared" si="116"/>
        <v>0</v>
      </c>
      <c r="AC129" s="25">
        <f t="shared" si="117"/>
        <v>0</v>
      </c>
      <c r="AD129" s="25">
        <f t="shared" si="118"/>
        <v>0</v>
      </c>
      <c r="AE129" s="25">
        <f t="shared" si="119"/>
        <v>0</v>
      </c>
      <c r="AF129" s="25">
        <f t="shared" si="120"/>
        <v>0</v>
      </c>
      <c r="AG129" s="25">
        <f t="shared" si="121"/>
        <v>0</v>
      </c>
      <c r="AH129" s="25">
        <f t="shared" si="122"/>
        <v>0</v>
      </c>
      <c r="AI129" s="11" t="s">
        <v>46</v>
      </c>
      <c r="AJ129" s="25">
        <f t="shared" si="123"/>
        <v>0</v>
      </c>
      <c r="AK129" s="25">
        <f t="shared" si="124"/>
        <v>0</v>
      </c>
      <c r="AL129" s="25">
        <f t="shared" si="125"/>
        <v>0</v>
      </c>
      <c r="AN129" s="25">
        <v>21</v>
      </c>
      <c r="AO129" s="25">
        <f t="shared" si="134"/>
        <v>0</v>
      </c>
      <c r="AP129" s="25">
        <f t="shared" si="135"/>
        <v>0</v>
      </c>
      <c r="AQ129" s="27" t="s">
        <v>49</v>
      </c>
      <c r="AV129" s="25">
        <f t="shared" si="126"/>
        <v>0</v>
      </c>
      <c r="AW129" s="25">
        <f t="shared" si="127"/>
        <v>0</v>
      </c>
      <c r="AX129" s="25">
        <f t="shared" si="128"/>
        <v>0</v>
      </c>
      <c r="AY129" s="27" t="s">
        <v>354</v>
      </c>
      <c r="AZ129" s="27" t="s">
        <v>305</v>
      </c>
      <c r="BA129" s="11" t="s">
        <v>56</v>
      </c>
      <c r="BC129" s="25">
        <f t="shared" si="129"/>
        <v>0</v>
      </c>
      <c r="BD129" s="25">
        <f t="shared" si="130"/>
        <v>0</v>
      </c>
      <c r="BE129" s="25">
        <v>0</v>
      </c>
      <c r="BF129" s="25">
        <f>129</f>
        <v>129</v>
      </c>
      <c r="BH129" s="25">
        <f t="shared" si="131"/>
        <v>0</v>
      </c>
      <c r="BI129" s="25">
        <f t="shared" si="132"/>
        <v>0</v>
      </c>
      <c r="BJ129" s="25">
        <f t="shared" si="133"/>
        <v>0</v>
      </c>
      <c r="BK129" s="27" t="s">
        <v>57</v>
      </c>
      <c r="BL129" s="25">
        <v>96</v>
      </c>
      <c r="BW129" s="25">
        <v>21</v>
      </c>
      <c r="BX129" s="5" t="s">
        <v>404</v>
      </c>
    </row>
    <row r="130" spans="1:76" x14ac:dyDescent="0.25">
      <c r="A130" s="2" t="s">
        <v>405</v>
      </c>
      <c r="B130" s="3" t="s">
        <v>406</v>
      </c>
      <c r="C130" s="93" t="s">
        <v>407</v>
      </c>
      <c r="D130" s="94"/>
      <c r="E130" s="3" t="s">
        <v>52</v>
      </c>
      <c r="F130" s="25">
        <v>40</v>
      </c>
      <c r="G130" s="25">
        <v>0</v>
      </c>
      <c r="H130" s="25">
        <f t="shared" si="112"/>
        <v>0</v>
      </c>
      <c r="I130" s="25">
        <f t="shared" si="113"/>
        <v>0</v>
      </c>
      <c r="J130" s="25">
        <f t="shared" si="114"/>
        <v>0</v>
      </c>
      <c r="K130" s="26" t="s">
        <v>53</v>
      </c>
      <c r="Z130" s="25">
        <f t="shared" si="115"/>
        <v>0</v>
      </c>
      <c r="AB130" s="25">
        <f t="shared" si="116"/>
        <v>0</v>
      </c>
      <c r="AC130" s="25">
        <f t="shared" si="117"/>
        <v>0</v>
      </c>
      <c r="AD130" s="25">
        <f t="shared" si="118"/>
        <v>0</v>
      </c>
      <c r="AE130" s="25">
        <f t="shared" si="119"/>
        <v>0</v>
      </c>
      <c r="AF130" s="25">
        <f t="shared" si="120"/>
        <v>0</v>
      </c>
      <c r="AG130" s="25">
        <f t="shared" si="121"/>
        <v>0</v>
      </c>
      <c r="AH130" s="25">
        <f t="shared" si="122"/>
        <v>0</v>
      </c>
      <c r="AI130" s="11" t="s">
        <v>46</v>
      </c>
      <c r="AJ130" s="25">
        <f t="shared" si="123"/>
        <v>0</v>
      </c>
      <c r="AK130" s="25">
        <f t="shared" si="124"/>
        <v>0</v>
      </c>
      <c r="AL130" s="25">
        <f t="shared" si="125"/>
        <v>0</v>
      </c>
      <c r="AN130" s="25">
        <v>21</v>
      </c>
      <c r="AO130" s="25">
        <f t="shared" si="134"/>
        <v>0</v>
      </c>
      <c r="AP130" s="25">
        <f t="shared" si="135"/>
        <v>0</v>
      </c>
      <c r="AQ130" s="27" t="s">
        <v>49</v>
      </c>
      <c r="AV130" s="25">
        <f t="shared" si="126"/>
        <v>0</v>
      </c>
      <c r="AW130" s="25">
        <f t="shared" si="127"/>
        <v>0</v>
      </c>
      <c r="AX130" s="25">
        <f t="shared" si="128"/>
        <v>0</v>
      </c>
      <c r="AY130" s="27" t="s">
        <v>354</v>
      </c>
      <c r="AZ130" s="27" t="s">
        <v>305</v>
      </c>
      <c r="BA130" s="11" t="s">
        <v>56</v>
      </c>
      <c r="BC130" s="25">
        <f t="shared" si="129"/>
        <v>0</v>
      </c>
      <c r="BD130" s="25">
        <f t="shared" si="130"/>
        <v>0</v>
      </c>
      <c r="BE130" s="25">
        <v>0</v>
      </c>
      <c r="BF130" s="25">
        <f>130</f>
        <v>130</v>
      </c>
      <c r="BH130" s="25">
        <f t="shared" si="131"/>
        <v>0</v>
      </c>
      <c r="BI130" s="25">
        <f t="shared" si="132"/>
        <v>0</v>
      </c>
      <c r="BJ130" s="25">
        <f t="shared" si="133"/>
        <v>0</v>
      </c>
      <c r="BK130" s="27" t="s">
        <v>57</v>
      </c>
      <c r="BL130" s="25">
        <v>96</v>
      </c>
      <c r="BW130" s="25">
        <v>21</v>
      </c>
      <c r="BX130" s="5" t="s">
        <v>407</v>
      </c>
    </row>
    <row r="131" spans="1:76" x14ac:dyDescent="0.25">
      <c r="A131" s="2" t="s">
        <v>408</v>
      </c>
      <c r="B131" s="3" t="s">
        <v>409</v>
      </c>
      <c r="C131" s="93" t="s">
        <v>410</v>
      </c>
      <c r="D131" s="94"/>
      <c r="E131" s="3" t="s">
        <v>52</v>
      </c>
      <c r="F131" s="25">
        <v>30</v>
      </c>
      <c r="G131" s="25">
        <v>0</v>
      </c>
      <c r="H131" s="25">
        <f t="shared" si="112"/>
        <v>0</v>
      </c>
      <c r="I131" s="25">
        <f t="shared" si="113"/>
        <v>0</v>
      </c>
      <c r="J131" s="25">
        <f t="shared" si="114"/>
        <v>0</v>
      </c>
      <c r="K131" s="26" t="s">
        <v>53</v>
      </c>
      <c r="Z131" s="25">
        <f t="shared" si="115"/>
        <v>0</v>
      </c>
      <c r="AB131" s="25">
        <f t="shared" si="116"/>
        <v>0</v>
      </c>
      <c r="AC131" s="25">
        <f t="shared" si="117"/>
        <v>0</v>
      </c>
      <c r="AD131" s="25">
        <f t="shared" si="118"/>
        <v>0</v>
      </c>
      <c r="AE131" s="25">
        <f t="shared" si="119"/>
        <v>0</v>
      </c>
      <c r="AF131" s="25">
        <f t="shared" si="120"/>
        <v>0</v>
      </c>
      <c r="AG131" s="25">
        <f t="shared" si="121"/>
        <v>0</v>
      </c>
      <c r="AH131" s="25">
        <f t="shared" si="122"/>
        <v>0</v>
      </c>
      <c r="AI131" s="11" t="s">
        <v>46</v>
      </c>
      <c r="AJ131" s="25">
        <f t="shared" si="123"/>
        <v>0</v>
      </c>
      <c r="AK131" s="25">
        <f t="shared" si="124"/>
        <v>0</v>
      </c>
      <c r="AL131" s="25">
        <f t="shared" si="125"/>
        <v>0</v>
      </c>
      <c r="AN131" s="25">
        <v>21</v>
      </c>
      <c r="AO131" s="25">
        <f t="shared" si="134"/>
        <v>0</v>
      </c>
      <c r="AP131" s="25">
        <f t="shared" si="135"/>
        <v>0</v>
      </c>
      <c r="AQ131" s="27" t="s">
        <v>49</v>
      </c>
      <c r="AV131" s="25">
        <f t="shared" si="126"/>
        <v>0</v>
      </c>
      <c r="AW131" s="25">
        <f t="shared" si="127"/>
        <v>0</v>
      </c>
      <c r="AX131" s="25">
        <f t="shared" si="128"/>
        <v>0</v>
      </c>
      <c r="AY131" s="27" t="s">
        <v>354</v>
      </c>
      <c r="AZ131" s="27" t="s">
        <v>305</v>
      </c>
      <c r="BA131" s="11" t="s">
        <v>56</v>
      </c>
      <c r="BC131" s="25">
        <f t="shared" si="129"/>
        <v>0</v>
      </c>
      <c r="BD131" s="25">
        <f t="shared" si="130"/>
        <v>0</v>
      </c>
      <c r="BE131" s="25">
        <v>0</v>
      </c>
      <c r="BF131" s="25">
        <f>131</f>
        <v>131</v>
      </c>
      <c r="BH131" s="25">
        <f t="shared" si="131"/>
        <v>0</v>
      </c>
      <c r="BI131" s="25">
        <f t="shared" si="132"/>
        <v>0</v>
      </c>
      <c r="BJ131" s="25">
        <f t="shared" si="133"/>
        <v>0</v>
      </c>
      <c r="BK131" s="27" t="s">
        <v>57</v>
      </c>
      <c r="BL131" s="25">
        <v>96</v>
      </c>
      <c r="BW131" s="25">
        <v>21</v>
      </c>
      <c r="BX131" s="5" t="s">
        <v>410</v>
      </c>
    </row>
    <row r="132" spans="1:76" x14ac:dyDescent="0.25">
      <c r="A132" s="2" t="s">
        <v>411</v>
      </c>
      <c r="B132" s="3" t="s">
        <v>412</v>
      </c>
      <c r="C132" s="93" t="s">
        <v>413</v>
      </c>
      <c r="D132" s="94"/>
      <c r="E132" s="3" t="s">
        <v>52</v>
      </c>
      <c r="F132" s="25">
        <v>60</v>
      </c>
      <c r="G132" s="25">
        <v>0</v>
      </c>
      <c r="H132" s="25">
        <f t="shared" si="112"/>
        <v>0</v>
      </c>
      <c r="I132" s="25">
        <f t="shared" si="113"/>
        <v>0</v>
      </c>
      <c r="J132" s="25">
        <f t="shared" si="114"/>
        <v>0</v>
      </c>
      <c r="K132" s="26" t="s">
        <v>53</v>
      </c>
      <c r="Z132" s="25">
        <f t="shared" si="115"/>
        <v>0</v>
      </c>
      <c r="AB132" s="25">
        <f t="shared" si="116"/>
        <v>0</v>
      </c>
      <c r="AC132" s="25">
        <f t="shared" si="117"/>
        <v>0</v>
      </c>
      <c r="AD132" s="25">
        <f t="shared" si="118"/>
        <v>0</v>
      </c>
      <c r="AE132" s="25">
        <f t="shared" si="119"/>
        <v>0</v>
      </c>
      <c r="AF132" s="25">
        <f t="shared" si="120"/>
        <v>0</v>
      </c>
      <c r="AG132" s="25">
        <f t="shared" si="121"/>
        <v>0</v>
      </c>
      <c r="AH132" s="25">
        <f t="shared" si="122"/>
        <v>0</v>
      </c>
      <c r="AI132" s="11" t="s">
        <v>46</v>
      </c>
      <c r="AJ132" s="25">
        <f t="shared" si="123"/>
        <v>0</v>
      </c>
      <c r="AK132" s="25">
        <f t="shared" si="124"/>
        <v>0</v>
      </c>
      <c r="AL132" s="25">
        <f t="shared" si="125"/>
        <v>0</v>
      </c>
      <c r="AN132" s="25">
        <v>21</v>
      </c>
      <c r="AO132" s="25">
        <f t="shared" si="134"/>
        <v>0</v>
      </c>
      <c r="AP132" s="25">
        <f t="shared" si="135"/>
        <v>0</v>
      </c>
      <c r="AQ132" s="27" t="s">
        <v>49</v>
      </c>
      <c r="AV132" s="25">
        <f t="shared" si="126"/>
        <v>0</v>
      </c>
      <c r="AW132" s="25">
        <f t="shared" si="127"/>
        <v>0</v>
      </c>
      <c r="AX132" s="25">
        <f t="shared" si="128"/>
        <v>0</v>
      </c>
      <c r="AY132" s="27" t="s">
        <v>354</v>
      </c>
      <c r="AZ132" s="27" t="s">
        <v>305</v>
      </c>
      <c r="BA132" s="11" t="s">
        <v>56</v>
      </c>
      <c r="BC132" s="25">
        <f t="shared" si="129"/>
        <v>0</v>
      </c>
      <c r="BD132" s="25">
        <f t="shared" si="130"/>
        <v>0</v>
      </c>
      <c r="BE132" s="25">
        <v>0</v>
      </c>
      <c r="BF132" s="25">
        <f>132</f>
        <v>132</v>
      </c>
      <c r="BH132" s="25">
        <f t="shared" si="131"/>
        <v>0</v>
      </c>
      <c r="BI132" s="25">
        <f t="shared" si="132"/>
        <v>0</v>
      </c>
      <c r="BJ132" s="25">
        <f t="shared" si="133"/>
        <v>0</v>
      </c>
      <c r="BK132" s="27" t="s">
        <v>57</v>
      </c>
      <c r="BL132" s="25">
        <v>96</v>
      </c>
      <c r="BW132" s="25">
        <v>21</v>
      </c>
      <c r="BX132" s="5" t="s">
        <v>413</v>
      </c>
    </row>
    <row r="133" spans="1:76" x14ac:dyDescent="0.25">
      <c r="A133" s="2" t="s">
        <v>414</v>
      </c>
      <c r="B133" s="3" t="s">
        <v>415</v>
      </c>
      <c r="C133" s="93" t="s">
        <v>416</v>
      </c>
      <c r="D133" s="94"/>
      <c r="E133" s="3" t="s">
        <v>93</v>
      </c>
      <c r="F133" s="25">
        <v>11.135999999999999</v>
      </c>
      <c r="G133" s="25">
        <v>0</v>
      </c>
      <c r="H133" s="25">
        <f t="shared" si="112"/>
        <v>0</v>
      </c>
      <c r="I133" s="25">
        <f t="shared" si="113"/>
        <v>0</v>
      </c>
      <c r="J133" s="25">
        <f t="shared" si="114"/>
        <v>0</v>
      </c>
      <c r="K133" s="26" t="s">
        <v>53</v>
      </c>
      <c r="Z133" s="25">
        <f t="shared" si="115"/>
        <v>0</v>
      </c>
      <c r="AB133" s="25">
        <f t="shared" si="116"/>
        <v>0</v>
      </c>
      <c r="AC133" s="25">
        <f t="shared" si="117"/>
        <v>0</v>
      </c>
      <c r="AD133" s="25">
        <f t="shared" si="118"/>
        <v>0</v>
      </c>
      <c r="AE133" s="25">
        <f t="shared" si="119"/>
        <v>0</v>
      </c>
      <c r="AF133" s="25">
        <f t="shared" si="120"/>
        <v>0</v>
      </c>
      <c r="AG133" s="25">
        <f t="shared" si="121"/>
        <v>0</v>
      </c>
      <c r="AH133" s="25">
        <f t="shared" si="122"/>
        <v>0</v>
      </c>
      <c r="AI133" s="11" t="s">
        <v>46</v>
      </c>
      <c r="AJ133" s="25">
        <f t="shared" si="123"/>
        <v>0</v>
      </c>
      <c r="AK133" s="25">
        <f t="shared" si="124"/>
        <v>0</v>
      </c>
      <c r="AL133" s="25">
        <f t="shared" si="125"/>
        <v>0</v>
      </c>
      <c r="AN133" s="25">
        <v>21</v>
      </c>
      <c r="AO133" s="25">
        <f t="shared" si="134"/>
        <v>0</v>
      </c>
      <c r="AP133" s="25">
        <f t="shared" si="135"/>
        <v>0</v>
      </c>
      <c r="AQ133" s="27" t="s">
        <v>49</v>
      </c>
      <c r="AV133" s="25">
        <f t="shared" si="126"/>
        <v>0</v>
      </c>
      <c r="AW133" s="25">
        <f t="shared" si="127"/>
        <v>0</v>
      </c>
      <c r="AX133" s="25">
        <f t="shared" si="128"/>
        <v>0</v>
      </c>
      <c r="AY133" s="27" t="s">
        <v>354</v>
      </c>
      <c r="AZ133" s="27" t="s">
        <v>305</v>
      </c>
      <c r="BA133" s="11" t="s">
        <v>56</v>
      </c>
      <c r="BC133" s="25">
        <f t="shared" si="129"/>
        <v>0</v>
      </c>
      <c r="BD133" s="25">
        <f t="shared" si="130"/>
        <v>0</v>
      </c>
      <c r="BE133" s="25">
        <v>0</v>
      </c>
      <c r="BF133" s="25">
        <f>133</f>
        <v>133</v>
      </c>
      <c r="BH133" s="25">
        <f t="shared" si="131"/>
        <v>0</v>
      </c>
      <c r="BI133" s="25">
        <f t="shared" si="132"/>
        <v>0</v>
      </c>
      <c r="BJ133" s="25">
        <f t="shared" si="133"/>
        <v>0</v>
      </c>
      <c r="BK133" s="27" t="s">
        <v>57</v>
      </c>
      <c r="BL133" s="25">
        <v>96</v>
      </c>
      <c r="BW133" s="25">
        <v>21</v>
      </c>
      <c r="BX133" s="5" t="s">
        <v>416</v>
      </c>
    </row>
    <row r="134" spans="1:76" x14ac:dyDescent="0.25">
      <c r="A134" s="2" t="s">
        <v>417</v>
      </c>
      <c r="B134" s="3" t="s">
        <v>418</v>
      </c>
      <c r="C134" s="93" t="s">
        <v>419</v>
      </c>
      <c r="D134" s="94"/>
      <c r="E134" s="3" t="s">
        <v>52</v>
      </c>
      <c r="F134" s="25">
        <v>41</v>
      </c>
      <c r="G134" s="25">
        <v>0</v>
      </c>
      <c r="H134" s="25">
        <f t="shared" si="112"/>
        <v>0</v>
      </c>
      <c r="I134" s="25">
        <f t="shared" si="113"/>
        <v>0</v>
      </c>
      <c r="J134" s="25">
        <f t="shared" si="114"/>
        <v>0</v>
      </c>
      <c r="K134" s="26" t="s">
        <v>53</v>
      </c>
      <c r="Z134" s="25">
        <f t="shared" si="115"/>
        <v>0</v>
      </c>
      <c r="AB134" s="25">
        <f t="shared" si="116"/>
        <v>0</v>
      </c>
      <c r="AC134" s="25">
        <f t="shared" si="117"/>
        <v>0</v>
      </c>
      <c r="AD134" s="25">
        <f t="shared" si="118"/>
        <v>0</v>
      </c>
      <c r="AE134" s="25">
        <f t="shared" si="119"/>
        <v>0</v>
      </c>
      <c r="AF134" s="25">
        <f t="shared" si="120"/>
        <v>0</v>
      </c>
      <c r="AG134" s="25">
        <f t="shared" si="121"/>
        <v>0</v>
      </c>
      <c r="AH134" s="25">
        <f t="shared" si="122"/>
        <v>0</v>
      </c>
      <c r="AI134" s="11" t="s">
        <v>46</v>
      </c>
      <c r="AJ134" s="25">
        <f t="shared" si="123"/>
        <v>0</v>
      </c>
      <c r="AK134" s="25">
        <f t="shared" si="124"/>
        <v>0</v>
      </c>
      <c r="AL134" s="25">
        <f t="shared" si="125"/>
        <v>0</v>
      </c>
      <c r="AN134" s="25">
        <v>21</v>
      </c>
      <c r="AO134" s="25">
        <f t="shared" si="134"/>
        <v>0</v>
      </c>
      <c r="AP134" s="25">
        <f t="shared" si="135"/>
        <v>0</v>
      </c>
      <c r="AQ134" s="27" t="s">
        <v>49</v>
      </c>
      <c r="AV134" s="25">
        <f t="shared" si="126"/>
        <v>0</v>
      </c>
      <c r="AW134" s="25">
        <f t="shared" si="127"/>
        <v>0</v>
      </c>
      <c r="AX134" s="25">
        <f t="shared" si="128"/>
        <v>0</v>
      </c>
      <c r="AY134" s="27" t="s">
        <v>354</v>
      </c>
      <c r="AZ134" s="27" t="s">
        <v>305</v>
      </c>
      <c r="BA134" s="11" t="s">
        <v>56</v>
      </c>
      <c r="BC134" s="25">
        <f t="shared" si="129"/>
        <v>0</v>
      </c>
      <c r="BD134" s="25">
        <f t="shared" si="130"/>
        <v>0</v>
      </c>
      <c r="BE134" s="25">
        <v>0</v>
      </c>
      <c r="BF134" s="25">
        <f>134</f>
        <v>134</v>
      </c>
      <c r="BH134" s="25">
        <f t="shared" si="131"/>
        <v>0</v>
      </c>
      <c r="BI134" s="25">
        <f t="shared" si="132"/>
        <v>0</v>
      </c>
      <c r="BJ134" s="25">
        <f t="shared" si="133"/>
        <v>0</v>
      </c>
      <c r="BK134" s="27" t="s">
        <v>57</v>
      </c>
      <c r="BL134" s="25">
        <v>96</v>
      </c>
      <c r="BW134" s="25">
        <v>21</v>
      </c>
      <c r="BX134" s="5" t="s">
        <v>419</v>
      </c>
    </row>
    <row r="135" spans="1:76" x14ac:dyDescent="0.25">
      <c r="A135" s="2" t="s">
        <v>420</v>
      </c>
      <c r="B135" s="3" t="s">
        <v>421</v>
      </c>
      <c r="C135" s="93" t="s">
        <v>422</v>
      </c>
      <c r="D135" s="94"/>
      <c r="E135" s="3" t="s">
        <v>52</v>
      </c>
      <c r="F135" s="25">
        <v>16</v>
      </c>
      <c r="G135" s="25">
        <v>0</v>
      </c>
      <c r="H135" s="25">
        <f t="shared" si="112"/>
        <v>0</v>
      </c>
      <c r="I135" s="25">
        <f t="shared" si="113"/>
        <v>0</v>
      </c>
      <c r="J135" s="25">
        <f t="shared" si="114"/>
        <v>0</v>
      </c>
      <c r="K135" s="26" t="s">
        <v>53</v>
      </c>
      <c r="Z135" s="25">
        <f t="shared" si="115"/>
        <v>0</v>
      </c>
      <c r="AB135" s="25">
        <f t="shared" si="116"/>
        <v>0</v>
      </c>
      <c r="AC135" s="25">
        <f t="shared" si="117"/>
        <v>0</v>
      </c>
      <c r="AD135" s="25">
        <f t="shared" si="118"/>
        <v>0</v>
      </c>
      <c r="AE135" s="25">
        <f t="shared" si="119"/>
        <v>0</v>
      </c>
      <c r="AF135" s="25">
        <f t="shared" si="120"/>
        <v>0</v>
      </c>
      <c r="AG135" s="25">
        <f t="shared" si="121"/>
        <v>0</v>
      </c>
      <c r="AH135" s="25">
        <f t="shared" si="122"/>
        <v>0</v>
      </c>
      <c r="AI135" s="11" t="s">
        <v>46</v>
      </c>
      <c r="AJ135" s="25">
        <f t="shared" si="123"/>
        <v>0</v>
      </c>
      <c r="AK135" s="25">
        <f t="shared" si="124"/>
        <v>0</v>
      </c>
      <c r="AL135" s="25">
        <f t="shared" si="125"/>
        <v>0</v>
      </c>
      <c r="AN135" s="25">
        <v>21</v>
      </c>
      <c r="AO135" s="25">
        <f t="shared" si="134"/>
        <v>0</v>
      </c>
      <c r="AP135" s="25">
        <f t="shared" si="135"/>
        <v>0</v>
      </c>
      <c r="AQ135" s="27" t="s">
        <v>49</v>
      </c>
      <c r="AV135" s="25">
        <f t="shared" si="126"/>
        <v>0</v>
      </c>
      <c r="AW135" s="25">
        <f t="shared" si="127"/>
        <v>0</v>
      </c>
      <c r="AX135" s="25">
        <f t="shared" si="128"/>
        <v>0</v>
      </c>
      <c r="AY135" s="27" t="s">
        <v>354</v>
      </c>
      <c r="AZ135" s="27" t="s">
        <v>305</v>
      </c>
      <c r="BA135" s="11" t="s">
        <v>56</v>
      </c>
      <c r="BC135" s="25">
        <f t="shared" si="129"/>
        <v>0</v>
      </c>
      <c r="BD135" s="25">
        <f t="shared" si="130"/>
        <v>0</v>
      </c>
      <c r="BE135" s="25">
        <v>0</v>
      </c>
      <c r="BF135" s="25">
        <f>135</f>
        <v>135</v>
      </c>
      <c r="BH135" s="25">
        <f t="shared" si="131"/>
        <v>0</v>
      </c>
      <c r="BI135" s="25">
        <f t="shared" si="132"/>
        <v>0</v>
      </c>
      <c r="BJ135" s="25">
        <f t="shared" si="133"/>
        <v>0</v>
      </c>
      <c r="BK135" s="27" t="s">
        <v>57</v>
      </c>
      <c r="BL135" s="25">
        <v>96</v>
      </c>
      <c r="BW135" s="25">
        <v>21</v>
      </c>
      <c r="BX135" s="5" t="s">
        <v>422</v>
      </c>
    </row>
    <row r="136" spans="1:76" x14ac:dyDescent="0.25">
      <c r="A136" s="2" t="s">
        <v>423</v>
      </c>
      <c r="B136" s="3" t="s">
        <v>424</v>
      </c>
      <c r="C136" s="93" t="s">
        <v>425</v>
      </c>
      <c r="D136" s="94"/>
      <c r="E136" s="3" t="s">
        <v>52</v>
      </c>
      <c r="F136" s="25">
        <v>4</v>
      </c>
      <c r="G136" s="25">
        <v>0</v>
      </c>
      <c r="H136" s="25">
        <f t="shared" si="112"/>
        <v>0</v>
      </c>
      <c r="I136" s="25">
        <f t="shared" si="113"/>
        <v>0</v>
      </c>
      <c r="J136" s="25">
        <f t="shared" si="114"/>
        <v>0</v>
      </c>
      <c r="K136" s="26" t="s">
        <v>53</v>
      </c>
      <c r="Z136" s="25">
        <f t="shared" si="115"/>
        <v>0</v>
      </c>
      <c r="AB136" s="25">
        <f t="shared" si="116"/>
        <v>0</v>
      </c>
      <c r="AC136" s="25">
        <f t="shared" si="117"/>
        <v>0</v>
      </c>
      <c r="AD136" s="25">
        <f t="shared" si="118"/>
        <v>0</v>
      </c>
      <c r="AE136" s="25">
        <f t="shared" si="119"/>
        <v>0</v>
      </c>
      <c r="AF136" s="25">
        <f t="shared" si="120"/>
        <v>0</v>
      </c>
      <c r="AG136" s="25">
        <f t="shared" si="121"/>
        <v>0</v>
      </c>
      <c r="AH136" s="25">
        <f t="shared" si="122"/>
        <v>0</v>
      </c>
      <c r="AI136" s="11" t="s">
        <v>46</v>
      </c>
      <c r="AJ136" s="25">
        <f t="shared" si="123"/>
        <v>0</v>
      </c>
      <c r="AK136" s="25">
        <f t="shared" si="124"/>
        <v>0</v>
      </c>
      <c r="AL136" s="25">
        <f t="shared" si="125"/>
        <v>0</v>
      </c>
      <c r="AN136" s="25">
        <v>21</v>
      </c>
      <c r="AO136" s="25">
        <f t="shared" si="134"/>
        <v>0</v>
      </c>
      <c r="AP136" s="25">
        <f t="shared" si="135"/>
        <v>0</v>
      </c>
      <c r="AQ136" s="27" t="s">
        <v>49</v>
      </c>
      <c r="AV136" s="25">
        <f t="shared" si="126"/>
        <v>0</v>
      </c>
      <c r="AW136" s="25">
        <f t="shared" si="127"/>
        <v>0</v>
      </c>
      <c r="AX136" s="25">
        <f t="shared" si="128"/>
        <v>0</v>
      </c>
      <c r="AY136" s="27" t="s">
        <v>354</v>
      </c>
      <c r="AZ136" s="27" t="s">
        <v>305</v>
      </c>
      <c r="BA136" s="11" t="s">
        <v>56</v>
      </c>
      <c r="BC136" s="25">
        <f t="shared" si="129"/>
        <v>0</v>
      </c>
      <c r="BD136" s="25">
        <f t="shared" si="130"/>
        <v>0</v>
      </c>
      <c r="BE136" s="25">
        <v>0</v>
      </c>
      <c r="BF136" s="25">
        <f>136</f>
        <v>136</v>
      </c>
      <c r="BH136" s="25">
        <f t="shared" si="131"/>
        <v>0</v>
      </c>
      <c r="BI136" s="25">
        <f t="shared" si="132"/>
        <v>0</v>
      </c>
      <c r="BJ136" s="25">
        <f t="shared" si="133"/>
        <v>0</v>
      </c>
      <c r="BK136" s="27" t="s">
        <v>57</v>
      </c>
      <c r="BL136" s="25">
        <v>96</v>
      </c>
      <c r="BW136" s="25">
        <v>21</v>
      </c>
      <c r="BX136" s="5" t="s">
        <v>425</v>
      </c>
    </row>
    <row r="137" spans="1:76" x14ac:dyDescent="0.25">
      <c r="A137" s="2" t="s">
        <v>426</v>
      </c>
      <c r="B137" s="3" t="s">
        <v>427</v>
      </c>
      <c r="C137" s="93" t="s">
        <v>428</v>
      </c>
      <c r="D137" s="94"/>
      <c r="E137" s="3" t="s">
        <v>52</v>
      </c>
      <c r="F137" s="25">
        <v>2</v>
      </c>
      <c r="G137" s="25">
        <v>0</v>
      </c>
      <c r="H137" s="25">
        <f t="shared" si="112"/>
        <v>0</v>
      </c>
      <c r="I137" s="25">
        <f t="shared" si="113"/>
        <v>0</v>
      </c>
      <c r="J137" s="25">
        <f t="shared" si="114"/>
        <v>0</v>
      </c>
      <c r="K137" s="26" t="s">
        <v>53</v>
      </c>
      <c r="Z137" s="25">
        <f t="shared" si="115"/>
        <v>0</v>
      </c>
      <c r="AB137" s="25">
        <f t="shared" si="116"/>
        <v>0</v>
      </c>
      <c r="AC137" s="25">
        <f t="shared" si="117"/>
        <v>0</v>
      </c>
      <c r="AD137" s="25">
        <f t="shared" si="118"/>
        <v>0</v>
      </c>
      <c r="AE137" s="25">
        <f t="shared" si="119"/>
        <v>0</v>
      </c>
      <c r="AF137" s="25">
        <f t="shared" si="120"/>
        <v>0</v>
      </c>
      <c r="AG137" s="25">
        <f t="shared" si="121"/>
        <v>0</v>
      </c>
      <c r="AH137" s="25">
        <f t="shared" si="122"/>
        <v>0</v>
      </c>
      <c r="AI137" s="11" t="s">
        <v>46</v>
      </c>
      <c r="AJ137" s="25">
        <f t="shared" si="123"/>
        <v>0</v>
      </c>
      <c r="AK137" s="25">
        <f t="shared" si="124"/>
        <v>0</v>
      </c>
      <c r="AL137" s="25">
        <f t="shared" si="125"/>
        <v>0</v>
      </c>
      <c r="AN137" s="25">
        <v>21</v>
      </c>
      <c r="AO137" s="25">
        <f t="shared" si="134"/>
        <v>0</v>
      </c>
      <c r="AP137" s="25">
        <f t="shared" si="135"/>
        <v>0</v>
      </c>
      <c r="AQ137" s="27" t="s">
        <v>49</v>
      </c>
      <c r="AV137" s="25">
        <f t="shared" si="126"/>
        <v>0</v>
      </c>
      <c r="AW137" s="25">
        <f t="shared" si="127"/>
        <v>0</v>
      </c>
      <c r="AX137" s="25">
        <f t="shared" si="128"/>
        <v>0</v>
      </c>
      <c r="AY137" s="27" t="s">
        <v>354</v>
      </c>
      <c r="AZ137" s="27" t="s">
        <v>305</v>
      </c>
      <c r="BA137" s="11" t="s">
        <v>56</v>
      </c>
      <c r="BC137" s="25">
        <f t="shared" si="129"/>
        <v>0</v>
      </c>
      <c r="BD137" s="25">
        <f t="shared" si="130"/>
        <v>0</v>
      </c>
      <c r="BE137" s="25">
        <v>0</v>
      </c>
      <c r="BF137" s="25">
        <f>137</f>
        <v>137</v>
      </c>
      <c r="BH137" s="25">
        <f t="shared" si="131"/>
        <v>0</v>
      </c>
      <c r="BI137" s="25">
        <f t="shared" si="132"/>
        <v>0</v>
      </c>
      <c r="BJ137" s="25">
        <f t="shared" si="133"/>
        <v>0</v>
      </c>
      <c r="BK137" s="27" t="s">
        <v>57</v>
      </c>
      <c r="BL137" s="25">
        <v>96</v>
      </c>
      <c r="BW137" s="25">
        <v>21</v>
      </c>
      <c r="BX137" s="5" t="s">
        <v>428</v>
      </c>
    </row>
    <row r="138" spans="1:76" x14ac:dyDescent="0.25">
      <c r="A138" s="2" t="s">
        <v>429</v>
      </c>
      <c r="B138" s="3" t="s">
        <v>430</v>
      </c>
      <c r="C138" s="93" t="s">
        <v>431</v>
      </c>
      <c r="D138" s="94"/>
      <c r="E138" s="3" t="s">
        <v>93</v>
      </c>
      <c r="F138" s="25">
        <v>43.87</v>
      </c>
      <c r="G138" s="25">
        <v>0</v>
      </c>
      <c r="H138" s="25">
        <f t="shared" si="112"/>
        <v>0</v>
      </c>
      <c r="I138" s="25">
        <f t="shared" si="113"/>
        <v>0</v>
      </c>
      <c r="J138" s="25">
        <f t="shared" si="114"/>
        <v>0</v>
      </c>
      <c r="K138" s="26" t="s">
        <v>53</v>
      </c>
      <c r="Z138" s="25">
        <f t="shared" si="115"/>
        <v>0</v>
      </c>
      <c r="AB138" s="25">
        <f t="shared" si="116"/>
        <v>0</v>
      </c>
      <c r="AC138" s="25">
        <f t="shared" si="117"/>
        <v>0</v>
      </c>
      <c r="AD138" s="25">
        <f t="shared" si="118"/>
        <v>0</v>
      </c>
      <c r="AE138" s="25">
        <f t="shared" si="119"/>
        <v>0</v>
      </c>
      <c r="AF138" s="25">
        <f t="shared" si="120"/>
        <v>0</v>
      </c>
      <c r="AG138" s="25">
        <f t="shared" si="121"/>
        <v>0</v>
      </c>
      <c r="AH138" s="25">
        <f t="shared" si="122"/>
        <v>0</v>
      </c>
      <c r="AI138" s="11" t="s">
        <v>46</v>
      </c>
      <c r="AJ138" s="25">
        <f t="shared" si="123"/>
        <v>0</v>
      </c>
      <c r="AK138" s="25">
        <f t="shared" si="124"/>
        <v>0</v>
      </c>
      <c r="AL138" s="25">
        <f t="shared" si="125"/>
        <v>0</v>
      </c>
      <c r="AN138" s="25">
        <v>21</v>
      </c>
      <c r="AO138" s="25">
        <f>G138*0.060908112</f>
        <v>0</v>
      </c>
      <c r="AP138" s="25">
        <f>G138*(1-0.060908112)</f>
        <v>0</v>
      </c>
      <c r="AQ138" s="27" t="s">
        <v>49</v>
      </c>
      <c r="AV138" s="25">
        <f t="shared" si="126"/>
        <v>0</v>
      </c>
      <c r="AW138" s="25">
        <f t="shared" si="127"/>
        <v>0</v>
      </c>
      <c r="AX138" s="25">
        <f t="shared" si="128"/>
        <v>0</v>
      </c>
      <c r="AY138" s="27" t="s">
        <v>354</v>
      </c>
      <c r="AZ138" s="27" t="s">
        <v>305</v>
      </c>
      <c r="BA138" s="11" t="s">
        <v>56</v>
      </c>
      <c r="BC138" s="25">
        <f t="shared" si="129"/>
        <v>0</v>
      </c>
      <c r="BD138" s="25">
        <f t="shared" si="130"/>
        <v>0</v>
      </c>
      <c r="BE138" s="25">
        <v>0</v>
      </c>
      <c r="BF138" s="25">
        <f>138</f>
        <v>138</v>
      </c>
      <c r="BH138" s="25">
        <f t="shared" si="131"/>
        <v>0</v>
      </c>
      <c r="BI138" s="25">
        <f t="shared" si="132"/>
        <v>0</v>
      </c>
      <c r="BJ138" s="25">
        <f t="shared" si="133"/>
        <v>0</v>
      </c>
      <c r="BK138" s="27" t="s">
        <v>57</v>
      </c>
      <c r="BL138" s="25">
        <v>96</v>
      </c>
      <c r="BW138" s="25">
        <v>21</v>
      </c>
      <c r="BX138" s="5" t="s">
        <v>431</v>
      </c>
    </row>
    <row r="139" spans="1:76" x14ac:dyDescent="0.25">
      <c r="A139" s="2" t="s">
        <v>432</v>
      </c>
      <c r="B139" s="3" t="s">
        <v>433</v>
      </c>
      <c r="C139" s="93" t="s">
        <v>434</v>
      </c>
      <c r="D139" s="94"/>
      <c r="E139" s="3" t="s">
        <v>93</v>
      </c>
      <c r="F139" s="25">
        <v>4.51</v>
      </c>
      <c r="G139" s="25">
        <v>0</v>
      </c>
      <c r="H139" s="25">
        <f t="shared" si="112"/>
        <v>0</v>
      </c>
      <c r="I139" s="25">
        <f t="shared" si="113"/>
        <v>0</v>
      </c>
      <c r="J139" s="25">
        <f t="shared" si="114"/>
        <v>0</v>
      </c>
      <c r="K139" s="26" t="s">
        <v>53</v>
      </c>
      <c r="Z139" s="25">
        <f t="shared" si="115"/>
        <v>0</v>
      </c>
      <c r="AB139" s="25">
        <f t="shared" si="116"/>
        <v>0</v>
      </c>
      <c r="AC139" s="25">
        <f t="shared" si="117"/>
        <v>0</v>
      </c>
      <c r="AD139" s="25">
        <f t="shared" si="118"/>
        <v>0</v>
      </c>
      <c r="AE139" s="25">
        <f t="shared" si="119"/>
        <v>0</v>
      </c>
      <c r="AF139" s="25">
        <f t="shared" si="120"/>
        <v>0</v>
      </c>
      <c r="AG139" s="25">
        <f t="shared" si="121"/>
        <v>0</v>
      </c>
      <c r="AH139" s="25">
        <f t="shared" si="122"/>
        <v>0</v>
      </c>
      <c r="AI139" s="11" t="s">
        <v>46</v>
      </c>
      <c r="AJ139" s="25">
        <f t="shared" si="123"/>
        <v>0</v>
      </c>
      <c r="AK139" s="25">
        <f t="shared" si="124"/>
        <v>0</v>
      </c>
      <c r="AL139" s="25">
        <f t="shared" si="125"/>
        <v>0</v>
      </c>
      <c r="AN139" s="25">
        <v>21</v>
      </c>
      <c r="AO139" s="25">
        <f>G139*0.067541656</f>
        <v>0</v>
      </c>
      <c r="AP139" s="25">
        <f>G139*(1-0.067541656)</f>
        <v>0</v>
      </c>
      <c r="AQ139" s="27" t="s">
        <v>49</v>
      </c>
      <c r="AV139" s="25">
        <f t="shared" si="126"/>
        <v>0</v>
      </c>
      <c r="AW139" s="25">
        <f t="shared" si="127"/>
        <v>0</v>
      </c>
      <c r="AX139" s="25">
        <f t="shared" si="128"/>
        <v>0</v>
      </c>
      <c r="AY139" s="27" t="s">
        <v>354</v>
      </c>
      <c r="AZ139" s="27" t="s">
        <v>305</v>
      </c>
      <c r="BA139" s="11" t="s">
        <v>56</v>
      </c>
      <c r="BC139" s="25">
        <f t="shared" si="129"/>
        <v>0</v>
      </c>
      <c r="BD139" s="25">
        <f t="shared" si="130"/>
        <v>0</v>
      </c>
      <c r="BE139" s="25">
        <v>0</v>
      </c>
      <c r="BF139" s="25">
        <f>139</f>
        <v>139</v>
      </c>
      <c r="BH139" s="25">
        <f t="shared" si="131"/>
        <v>0</v>
      </c>
      <c r="BI139" s="25">
        <f t="shared" si="132"/>
        <v>0</v>
      </c>
      <c r="BJ139" s="25">
        <f t="shared" si="133"/>
        <v>0</v>
      </c>
      <c r="BK139" s="27" t="s">
        <v>57</v>
      </c>
      <c r="BL139" s="25">
        <v>96</v>
      </c>
      <c r="BW139" s="25">
        <v>21</v>
      </c>
      <c r="BX139" s="5" t="s">
        <v>434</v>
      </c>
    </row>
    <row r="140" spans="1:76" x14ac:dyDescent="0.25">
      <c r="A140" s="2" t="s">
        <v>435</v>
      </c>
      <c r="B140" s="3" t="s">
        <v>436</v>
      </c>
      <c r="C140" s="93" t="s">
        <v>437</v>
      </c>
      <c r="D140" s="94"/>
      <c r="E140" s="3" t="s">
        <v>93</v>
      </c>
      <c r="F140" s="25">
        <v>2.5499999999999998</v>
      </c>
      <c r="G140" s="25">
        <v>0</v>
      </c>
      <c r="H140" s="25">
        <f t="shared" si="112"/>
        <v>0</v>
      </c>
      <c r="I140" s="25">
        <f t="shared" si="113"/>
        <v>0</v>
      </c>
      <c r="J140" s="25">
        <f t="shared" si="114"/>
        <v>0</v>
      </c>
      <c r="K140" s="26" t="s">
        <v>53</v>
      </c>
      <c r="Z140" s="25">
        <f t="shared" si="115"/>
        <v>0</v>
      </c>
      <c r="AB140" s="25">
        <f t="shared" si="116"/>
        <v>0</v>
      </c>
      <c r="AC140" s="25">
        <f t="shared" si="117"/>
        <v>0</v>
      </c>
      <c r="AD140" s="25">
        <f t="shared" si="118"/>
        <v>0</v>
      </c>
      <c r="AE140" s="25">
        <f t="shared" si="119"/>
        <v>0</v>
      </c>
      <c r="AF140" s="25">
        <f t="shared" si="120"/>
        <v>0</v>
      </c>
      <c r="AG140" s="25">
        <f t="shared" si="121"/>
        <v>0</v>
      </c>
      <c r="AH140" s="25">
        <f t="shared" si="122"/>
        <v>0</v>
      </c>
      <c r="AI140" s="11" t="s">
        <v>46</v>
      </c>
      <c r="AJ140" s="25">
        <f t="shared" si="123"/>
        <v>0</v>
      </c>
      <c r="AK140" s="25">
        <f t="shared" si="124"/>
        <v>0</v>
      </c>
      <c r="AL140" s="25">
        <f t="shared" si="125"/>
        <v>0</v>
      </c>
      <c r="AN140" s="25">
        <v>21</v>
      </c>
      <c r="AO140" s="25">
        <f>G140*0.112660309</f>
        <v>0</v>
      </c>
      <c r="AP140" s="25">
        <f>G140*(1-0.112660309)</f>
        <v>0</v>
      </c>
      <c r="AQ140" s="27" t="s">
        <v>49</v>
      </c>
      <c r="AV140" s="25">
        <f t="shared" si="126"/>
        <v>0</v>
      </c>
      <c r="AW140" s="25">
        <f t="shared" si="127"/>
        <v>0</v>
      </c>
      <c r="AX140" s="25">
        <f t="shared" si="128"/>
        <v>0</v>
      </c>
      <c r="AY140" s="27" t="s">
        <v>354</v>
      </c>
      <c r="AZ140" s="27" t="s">
        <v>305</v>
      </c>
      <c r="BA140" s="11" t="s">
        <v>56</v>
      </c>
      <c r="BC140" s="25">
        <f t="shared" si="129"/>
        <v>0</v>
      </c>
      <c r="BD140" s="25">
        <f t="shared" si="130"/>
        <v>0</v>
      </c>
      <c r="BE140" s="25">
        <v>0</v>
      </c>
      <c r="BF140" s="25">
        <f>140</f>
        <v>140</v>
      </c>
      <c r="BH140" s="25">
        <f t="shared" si="131"/>
        <v>0</v>
      </c>
      <c r="BI140" s="25">
        <f t="shared" si="132"/>
        <v>0</v>
      </c>
      <c r="BJ140" s="25">
        <f t="shared" si="133"/>
        <v>0</v>
      </c>
      <c r="BK140" s="27" t="s">
        <v>57</v>
      </c>
      <c r="BL140" s="25">
        <v>96</v>
      </c>
      <c r="BW140" s="25">
        <v>21</v>
      </c>
      <c r="BX140" s="5" t="s">
        <v>437</v>
      </c>
    </row>
    <row r="141" spans="1:76" x14ac:dyDescent="0.25">
      <c r="A141" s="2" t="s">
        <v>438</v>
      </c>
      <c r="B141" s="3" t="s">
        <v>439</v>
      </c>
      <c r="C141" s="93" t="s">
        <v>440</v>
      </c>
      <c r="D141" s="94"/>
      <c r="E141" s="3" t="s">
        <v>131</v>
      </c>
      <c r="F141" s="25">
        <v>5.0999999999999996</v>
      </c>
      <c r="G141" s="25">
        <v>0</v>
      </c>
      <c r="H141" s="25">
        <f t="shared" si="112"/>
        <v>0</v>
      </c>
      <c r="I141" s="25">
        <f t="shared" si="113"/>
        <v>0</v>
      </c>
      <c r="J141" s="25">
        <f t="shared" si="114"/>
        <v>0</v>
      </c>
      <c r="K141" s="26" t="s">
        <v>53</v>
      </c>
      <c r="Z141" s="25">
        <f t="shared" si="115"/>
        <v>0</v>
      </c>
      <c r="AB141" s="25">
        <f t="shared" si="116"/>
        <v>0</v>
      </c>
      <c r="AC141" s="25">
        <f t="shared" si="117"/>
        <v>0</v>
      </c>
      <c r="AD141" s="25">
        <f t="shared" si="118"/>
        <v>0</v>
      </c>
      <c r="AE141" s="25">
        <f t="shared" si="119"/>
        <v>0</v>
      </c>
      <c r="AF141" s="25">
        <f t="shared" si="120"/>
        <v>0</v>
      </c>
      <c r="AG141" s="25">
        <f t="shared" si="121"/>
        <v>0</v>
      </c>
      <c r="AH141" s="25">
        <f t="shared" si="122"/>
        <v>0</v>
      </c>
      <c r="AI141" s="11" t="s">
        <v>46</v>
      </c>
      <c r="AJ141" s="25">
        <f t="shared" si="123"/>
        <v>0</v>
      </c>
      <c r="AK141" s="25">
        <f t="shared" si="124"/>
        <v>0</v>
      </c>
      <c r="AL141" s="25">
        <f t="shared" si="125"/>
        <v>0</v>
      </c>
      <c r="AN141" s="25">
        <v>21</v>
      </c>
      <c r="AO141" s="25">
        <f>G141*0</f>
        <v>0</v>
      </c>
      <c r="AP141" s="25">
        <f>G141*(1-0)</f>
        <v>0</v>
      </c>
      <c r="AQ141" s="27" t="s">
        <v>49</v>
      </c>
      <c r="AV141" s="25">
        <f t="shared" si="126"/>
        <v>0</v>
      </c>
      <c r="AW141" s="25">
        <f t="shared" si="127"/>
        <v>0</v>
      </c>
      <c r="AX141" s="25">
        <f t="shared" si="128"/>
        <v>0</v>
      </c>
      <c r="AY141" s="27" t="s">
        <v>354</v>
      </c>
      <c r="AZ141" s="27" t="s">
        <v>305</v>
      </c>
      <c r="BA141" s="11" t="s">
        <v>56</v>
      </c>
      <c r="BC141" s="25">
        <f t="shared" si="129"/>
        <v>0</v>
      </c>
      <c r="BD141" s="25">
        <f t="shared" si="130"/>
        <v>0</v>
      </c>
      <c r="BE141" s="25">
        <v>0</v>
      </c>
      <c r="BF141" s="25">
        <f>141</f>
        <v>141</v>
      </c>
      <c r="BH141" s="25">
        <f t="shared" si="131"/>
        <v>0</v>
      </c>
      <c r="BI141" s="25">
        <f t="shared" si="132"/>
        <v>0</v>
      </c>
      <c r="BJ141" s="25">
        <f t="shared" si="133"/>
        <v>0</v>
      </c>
      <c r="BK141" s="27" t="s">
        <v>57</v>
      </c>
      <c r="BL141" s="25">
        <v>96</v>
      </c>
      <c r="BW141" s="25">
        <v>21</v>
      </c>
      <c r="BX141" s="5" t="s">
        <v>440</v>
      </c>
    </row>
    <row r="142" spans="1:76" x14ac:dyDescent="0.25">
      <c r="A142" s="28" t="s">
        <v>46</v>
      </c>
      <c r="B142" s="29" t="s">
        <v>372</v>
      </c>
      <c r="C142" s="150" t="s">
        <v>441</v>
      </c>
      <c r="D142" s="151"/>
      <c r="E142" s="30" t="s">
        <v>4</v>
      </c>
      <c r="F142" s="30" t="s">
        <v>4</v>
      </c>
      <c r="G142" s="30" t="s">
        <v>4</v>
      </c>
      <c r="H142" s="1">
        <f>ROUND(SUM(H143:H154),1)</f>
        <v>0</v>
      </c>
      <c r="I142" s="1">
        <f>ROUND(SUM(I143:I154),1)</f>
        <v>0</v>
      </c>
      <c r="J142" s="1">
        <f>ROUND(SUM(J143:J154),1)</f>
        <v>0</v>
      </c>
      <c r="K142" s="31" t="s">
        <v>46</v>
      </c>
      <c r="AI142" s="11" t="s">
        <v>46</v>
      </c>
      <c r="AS142" s="1">
        <f>SUM(AJ143:AJ154)</f>
        <v>0</v>
      </c>
      <c r="AT142" s="1">
        <f>SUM(AK143:AK154)</f>
        <v>0</v>
      </c>
      <c r="AU142" s="1">
        <f>SUM(AL143:AL154)</f>
        <v>0</v>
      </c>
    </row>
    <row r="143" spans="1:76" x14ac:dyDescent="0.25">
      <c r="A143" s="2" t="s">
        <v>442</v>
      </c>
      <c r="B143" s="3" t="s">
        <v>443</v>
      </c>
      <c r="C143" s="93" t="s">
        <v>444</v>
      </c>
      <c r="D143" s="94"/>
      <c r="E143" s="3" t="s">
        <v>52</v>
      </c>
      <c r="F143" s="25">
        <v>5</v>
      </c>
      <c r="G143" s="25">
        <v>0</v>
      </c>
      <c r="H143" s="25">
        <f t="shared" ref="H143:H154" si="136">ROUND(F143*AO143,2)</f>
        <v>0</v>
      </c>
      <c r="I143" s="25">
        <f t="shared" ref="I143:I154" si="137">ROUND(F143*AP143,2)</f>
        <v>0</v>
      </c>
      <c r="J143" s="25">
        <f t="shared" ref="J143:J154" si="138">ROUND(F143*G143,1)</f>
        <v>0</v>
      </c>
      <c r="K143" s="26" t="s">
        <v>53</v>
      </c>
      <c r="Z143" s="25">
        <f t="shared" ref="Z143:Z154" si="139">ROUND(IF(AQ143="5",BJ143,0),2)</f>
        <v>0</v>
      </c>
      <c r="AB143" s="25">
        <f t="shared" ref="AB143:AB154" si="140">ROUND(IF(AQ143="1",BH143,0),2)</f>
        <v>0</v>
      </c>
      <c r="AC143" s="25">
        <f t="shared" ref="AC143:AC154" si="141">ROUND(IF(AQ143="1",BI143,0),2)</f>
        <v>0</v>
      </c>
      <c r="AD143" s="25">
        <f t="shared" ref="AD143:AD154" si="142">ROUND(IF(AQ143="7",BH143,0),2)</f>
        <v>0</v>
      </c>
      <c r="AE143" s="25">
        <f t="shared" ref="AE143:AE154" si="143">ROUND(IF(AQ143="7",BI143,0),2)</f>
        <v>0</v>
      </c>
      <c r="AF143" s="25">
        <f t="shared" ref="AF143:AF154" si="144">ROUND(IF(AQ143="2",BH143,0),2)</f>
        <v>0</v>
      </c>
      <c r="AG143" s="25">
        <f t="shared" ref="AG143:AG154" si="145">ROUND(IF(AQ143="2",BI143,0),2)</f>
        <v>0</v>
      </c>
      <c r="AH143" s="25">
        <f t="shared" ref="AH143:AH154" si="146">ROUND(IF(AQ143="0",BJ143,0),2)</f>
        <v>0</v>
      </c>
      <c r="AI143" s="11" t="s">
        <v>46</v>
      </c>
      <c r="AJ143" s="25">
        <f t="shared" ref="AJ143:AJ154" si="147">IF(AN143=0,J143,0)</f>
        <v>0</v>
      </c>
      <c r="AK143" s="25">
        <f t="shared" ref="AK143:AK154" si="148">IF(AN143=12,J143,0)</f>
        <v>0</v>
      </c>
      <c r="AL143" s="25">
        <f t="shared" ref="AL143:AL154" si="149">IF(AN143=21,J143,0)</f>
        <v>0</v>
      </c>
      <c r="AN143" s="25">
        <v>21</v>
      </c>
      <c r="AO143" s="25">
        <f>G143*0.085122229</f>
        <v>0</v>
      </c>
      <c r="AP143" s="25">
        <f>G143*(1-0.085122229)</f>
        <v>0</v>
      </c>
      <c r="AQ143" s="27" t="s">
        <v>49</v>
      </c>
      <c r="AV143" s="25">
        <f t="shared" ref="AV143:AV154" si="150">ROUND(AW143+AX143,2)</f>
        <v>0</v>
      </c>
      <c r="AW143" s="25">
        <f t="shared" ref="AW143:AW154" si="151">ROUND(F143*AO143,2)</f>
        <v>0</v>
      </c>
      <c r="AX143" s="25">
        <f t="shared" ref="AX143:AX154" si="152">ROUND(F143*AP143,2)</f>
        <v>0</v>
      </c>
      <c r="AY143" s="27" t="s">
        <v>445</v>
      </c>
      <c r="AZ143" s="27" t="s">
        <v>305</v>
      </c>
      <c r="BA143" s="11" t="s">
        <v>56</v>
      </c>
      <c r="BC143" s="25">
        <f t="shared" ref="BC143:BC154" si="153">AW143+AX143</f>
        <v>0</v>
      </c>
      <c r="BD143" s="25">
        <f t="shared" ref="BD143:BD154" si="154">G143/(100-BE143)*100</f>
        <v>0</v>
      </c>
      <c r="BE143" s="25">
        <v>0</v>
      </c>
      <c r="BF143" s="25">
        <f>143</f>
        <v>143</v>
      </c>
      <c r="BH143" s="25">
        <f t="shared" ref="BH143:BH154" si="155">F143*AO143</f>
        <v>0</v>
      </c>
      <c r="BI143" s="25">
        <f t="shared" ref="BI143:BI154" si="156">F143*AP143</f>
        <v>0</v>
      </c>
      <c r="BJ143" s="25">
        <f t="shared" ref="BJ143:BJ154" si="157">F143*G143</f>
        <v>0</v>
      </c>
      <c r="BK143" s="27" t="s">
        <v>57</v>
      </c>
      <c r="BL143" s="25">
        <v>97</v>
      </c>
      <c r="BW143" s="25">
        <v>21</v>
      </c>
      <c r="BX143" s="5" t="s">
        <v>444</v>
      </c>
    </row>
    <row r="144" spans="1:76" x14ac:dyDescent="0.25">
      <c r="A144" s="2" t="s">
        <v>446</v>
      </c>
      <c r="B144" s="3" t="s">
        <v>447</v>
      </c>
      <c r="C144" s="93" t="s">
        <v>448</v>
      </c>
      <c r="D144" s="94"/>
      <c r="E144" s="3" t="s">
        <v>52</v>
      </c>
      <c r="F144" s="25">
        <v>4</v>
      </c>
      <c r="G144" s="25">
        <v>0</v>
      </c>
      <c r="H144" s="25">
        <f t="shared" si="136"/>
        <v>0</v>
      </c>
      <c r="I144" s="25">
        <f t="shared" si="137"/>
        <v>0</v>
      </c>
      <c r="J144" s="25">
        <f t="shared" si="138"/>
        <v>0</v>
      </c>
      <c r="K144" s="26" t="s">
        <v>53</v>
      </c>
      <c r="Z144" s="25">
        <f t="shared" si="139"/>
        <v>0</v>
      </c>
      <c r="AB144" s="25">
        <f t="shared" si="140"/>
        <v>0</v>
      </c>
      <c r="AC144" s="25">
        <f t="shared" si="141"/>
        <v>0</v>
      </c>
      <c r="AD144" s="25">
        <f t="shared" si="142"/>
        <v>0</v>
      </c>
      <c r="AE144" s="25">
        <f t="shared" si="143"/>
        <v>0</v>
      </c>
      <c r="AF144" s="25">
        <f t="shared" si="144"/>
        <v>0</v>
      </c>
      <c r="AG144" s="25">
        <f t="shared" si="145"/>
        <v>0</v>
      </c>
      <c r="AH144" s="25">
        <f t="shared" si="146"/>
        <v>0</v>
      </c>
      <c r="AI144" s="11" t="s">
        <v>46</v>
      </c>
      <c r="AJ144" s="25">
        <f t="shared" si="147"/>
        <v>0</v>
      </c>
      <c r="AK144" s="25">
        <f t="shared" si="148"/>
        <v>0</v>
      </c>
      <c r="AL144" s="25">
        <f t="shared" si="149"/>
        <v>0</v>
      </c>
      <c r="AN144" s="25">
        <v>21</v>
      </c>
      <c r="AO144" s="25">
        <f>G144*0.046594724</f>
        <v>0</v>
      </c>
      <c r="AP144" s="25">
        <f>G144*(1-0.046594724)</f>
        <v>0</v>
      </c>
      <c r="AQ144" s="27" t="s">
        <v>49</v>
      </c>
      <c r="AV144" s="25">
        <f t="shared" si="150"/>
        <v>0</v>
      </c>
      <c r="AW144" s="25">
        <f t="shared" si="151"/>
        <v>0</v>
      </c>
      <c r="AX144" s="25">
        <f t="shared" si="152"/>
        <v>0</v>
      </c>
      <c r="AY144" s="27" t="s">
        <v>445</v>
      </c>
      <c r="AZ144" s="27" t="s">
        <v>305</v>
      </c>
      <c r="BA144" s="11" t="s">
        <v>56</v>
      </c>
      <c r="BC144" s="25">
        <f t="shared" si="153"/>
        <v>0</v>
      </c>
      <c r="BD144" s="25">
        <f t="shared" si="154"/>
        <v>0</v>
      </c>
      <c r="BE144" s="25">
        <v>0</v>
      </c>
      <c r="BF144" s="25">
        <f>144</f>
        <v>144</v>
      </c>
      <c r="BH144" s="25">
        <f t="shared" si="155"/>
        <v>0</v>
      </c>
      <c r="BI144" s="25">
        <f t="shared" si="156"/>
        <v>0</v>
      </c>
      <c r="BJ144" s="25">
        <f t="shared" si="157"/>
        <v>0</v>
      </c>
      <c r="BK144" s="27" t="s">
        <v>57</v>
      </c>
      <c r="BL144" s="25">
        <v>97</v>
      </c>
      <c r="BW144" s="25">
        <v>21</v>
      </c>
      <c r="BX144" s="5" t="s">
        <v>448</v>
      </c>
    </row>
    <row r="145" spans="1:76" x14ac:dyDescent="0.25">
      <c r="A145" s="2" t="s">
        <v>449</v>
      </c>
      <c r="B145" s="3" t="s">
        <v>450</v>
      </c>
      <c r="C145" s="93" t="s">
        <v>451</v>
      </c>
      <c r="D145" s="94"/>
      <c r="E145" s="3" t="s">
        <v>61</v>
      </c>
      <c r="F145" s="25">
        <v>0.56200000000000006</v>
      </c>
      <c r="G145" s="25">
        <v>0</v>
      </c>
      <c r="H145" s="25">
        <f t="shared" si="136"/>
        <v>0</v>
      </c>
      <c r="I145" s="25">
        <f t="shared" si="137"/>
        <v>0</v>
      </c>
      <c r="J145" s="25">
        <f t="shared" si="138"/>
        <v>0</v>
      </c>
      <c r="K145" s="26" t="s">
        <v>53</v>
      </c>
      <c r="Z145" s="25">
        <f t="shared" si="139"/>
        <v>0</v>
      </c>
      <c r="AB145" s="25">
        <f t="shared" si="140"/>
        <v>0</v>
      </c>
      <c r="AC145" s="25">
        <f t="shared" si="141"/>
        <v>0</v>
      </c>
      <c r="AD145" s="25">
        <f t="shared" si="142"/>
        <v>0</v>
      </c>
      <c r="AE145" s="25">
        <f t="shared" si="143"/>
        <v>0</v>
      </c>
      <c r="AF145" s="25">
        <f t="shared" si="144"/>
        <v>0</v>
      </c>
      <c r="AG145" s="25">
        <f t="shared" si="145"/>
        <v>0</v>
      </c>
      <c r="AH145" s="25">
        <f t="shared" si="146"/>
        <v>0</v>
      </c>
      <c r="AI145" s="11" t="s">
        <v>46</v>
      </c>
      <c r="AJ145" s="25">
        <f t="shared" si="147"/>
        <v>0</v>
      </c>
      <c r="AK145" s="25">
        <f t="shared" si="148"/>
        <v>0</v>
      </c>
      <c r="AL145" s="25">
        <f t="shared" si="149"/>
        <v>0</v>
      </c>
      <c r="AN145" s="25">
        <v>21</v>
      </c>
      <c r="AO145" s="25">
        <f>G145*0.018700356</f>
        <v>0</v>
      </c>
      <c r="AP145" s="25">
        <f>G145*(1-0.018700356)</f>
        <v>0</v>
      </c>
      <c r="AQ145" s="27" t="s">
        <v>49</v>
      </c>
      <c r="AV145" s="25">
        <f t="shared" si="150"/>
        <v>0</v>
      </c>
      <c r="AW145" s="25">
        <f t="shared" si="151"/>
        <v>0</v>
      </c>
      <c r="AX145" s="25">
        <f t="shared" si="152"/>
        <v>0</v>
      </c>
      <c r="AY145" s="27" t="s">
        <v>445</v>
      </c>
      <c r="AZ145" s="27" t="s">
        <v>305</v>
      </c>
      <c r="BA145" s="11" t="s">
        <v>56</v>
      </c>
      <c r="BC145" s="25">
        <f t="shared" si="153"/>
        <v>0</v>
      </c>
      <c r="BD145" s="25">
        <f t="shared" si="154"/>
        <v>0</v>
      </c>
      <c r="BE145" s="25">
        <v>0</v>
      </c>
      <c r="BF145" s="25">
        <f>145</f>
        <v>145</v>
      </c>
      <c r="BH145" s="25">
        <f t="shared" si="155"/>
        <v>0</v>
      </c>
      <c r="BI145" s="25">
        <f t="shared" si="156"/>
        <v>0</v>
      </c>
      <c r="BJ145" s="25">
        <f t="shared" si="157"/>
        <v>0</v>
      </c>
      <c r="BK145" s="27" t="s">
        <v>57</v>
      </c>
      <c r="BL145" s="25">
        <v>97</v>
      </c>
      <c r="BW145" s="25">
        <v>21</v>
      </c>
      <c r="BX145" s="5" t="s">
        <v>451</v>
      </c>
    </row>
    <row r="146" spans="1:76" x14ac:dyDescent="0.25">
      <c r="A146" s="2" t="s">
        <v>452</v>
      </c>
      <c r="B146" s="3" t="s">
        <v>453</v>
      </c>
      <c r="C146" s="93" t="s">
        <v>454</v>
      </c>
      <c r="D146" s="94"/>
      <c r="E146" s="3" t="s">
        <v>61</v>
      </c>
      <c r="F146" s="25">
        <v>3.085</v>
      </c>
      <c r="G146" s="25">
        <v>0</v>
      </c>
      <c r="H146" s="25">
        <f t="shared" si="136"/>
        <v>0</v>
      </c>
      <c r="I146" s="25">
        <f t="shared" si="137"/>
        <v>0</v>
      </c>
      <c r="J146" s="25">
        <f t="shared" si="138"/>
        <v>0</v>
      </c>
      <c r="K146" s="26" t="s">
        <v>53</v>
      </c>
      <c r="Z146" s="25">
        <f t="shared" si="139"/>
        <v>0</v>
      </c>
      <c r="AB146" s="25">
        <f t="shared" si="140"/>
        <v>0</v>
      </c>
      <c r="AC146" s="25">
        <f t="shared" si="141"/>
        <v>0</v>
      </c>
      <c r="AD146" s="25">
        <f t="shared" si="142"/>
        <v>0</v>
      </c>
      <c r="AE146" s="25">
        <f t="shared" si="143"/>
        <v>0</v>
      </c>
      <c r="AF146" s="25">
        <f t="shared" si="144"/>
        <v>0</v>
      </c>
      <c r="AG146" s="25">
        <f t="shared" si="145"/>
        <v>0</v>
      </c>
      <c r="AH146" s="25">
        <f t="shared" si="146"/>
        <v>0</v>
      </c>
      <c r="AI146" s="11" t="s">
        <v>46</v>
      </c>
      <c r="AJ146" s="25">
        <f t="shared" si="147"/>
        <v>0</v>
      </c>
      <c r="AK146" s="25">
        <f t="shared" si="148"/>
        <v>0</v>
      </c>
      <c r="AL146" s="25">
        <f t="shared" si="149"/>
        <v>0</v>
      </c>
      <c r="AN146" s="25">
        <v>21</v>
      </c>
      <c r="AO146" s="25">
        <f>G146*0.029028436</f>
        <v>0</v>
      </c>
      <c r="AP146" s="25">
        <f>G146*(1-0.029028436)</f>
        <v>0</v>
      </c>
      <c r="AQ146" s="27" t="s">
        <v>49</v>
      </c>
      <c r="AV146" s="25">
        <f t="shared" si="150"/>
        <v>0</v>
      </c>
      <c r="AW146" s="25">
        <f t="shared" si="151"/>
        <v>0</v>
      </c>
      <c r="AX146" s="25">
        <f t="shared" si="152"/>
        <v>0</v>
      </c>
      <c r="AY146" s="27" t="s">
        <v>445</v>
      </c>
      <c r="AZ146" s="27" t="s">
        <v>305</v>
      </c>
      <c r="BA146" s="11" t="s">
        <v>56</v>
      </c>
      <c r="BC146" s="25">
        <f t="shared" si="153"/>
        <v>0</v>
      </c>
      <c r="BD146" s="25">
        <f t="shared" si="154"/>
        <v>0</v>
      </c>
      <c r="BE146" s="25">
        <v>0</v>
      </c>
      <c r="BF146" s="25">
        <f>146</f>
        <v>146</v>
      </c>
      <c r="BH146" s="25">
        <f t="shared" si="155"/>
        <v>0</v>
      </c>
      <c r="BI146" s="25">
        <f t="shared" si="156"/>
        <v>0</v>
      </c>
      <c r="BJ146" s="25">
        <f t="shared" si="157"/>
        <v>0</v>
      </c>
      <c r="BK146" s="27" t="s">
        <v>57</v>
      </c>
      <c r="BL146" s="25">
        <v>97</v>
      </c>
      <c r="BW146" s="25">
        <v>21</v>
      </c>
      <c r="BX146" s="5" t="s">
        <v>454</v>
      </c>
    </row>
    <row r="147" spans="1:76" x14ac:dyDescent="0.25">
      <c r="A147" s="2" t="s">
        <v>455</v>
      </c>
      <c r="B147" s="3" t="s">
        <v>456</v>
      </c>
      <c r="C147" s="93" t="s">
        <v>457</v>
      </c>
      <c r="D147" s="94"/>
      <c r="E147" s="3" t="s">
        <v>61</v>
      </c>
      <c r="F147" s="25">
        <v>2.7829999999999999</v>
      </c>
      <c r="G147" s="25">
        <v>0</v>
      </c>
      <c r="H147" s="25">
        <f t="shared" si="136"/>
        <v>0</v>
      </c>
      <c r="I147" s="25">
        <f t="shared" si="137"/>
        <v>0</v>
      </c>
      <c r="J147" s="25">
        <f t="shared" si="138"/>
        <v>0</v>
      </c>
      <c r="K147" s="26" t="s">
        <v>53</v>
      </c>
      <c r="Z147" s="25">
        <f t="shared" si="139"/>
        <v>0</v>
      </c>
      <c r="AB147" s="25">
        <f t="shared" si="140"/>
        <v>0</v>
      </c>
      <c r="AC147" s="25">
        <f t="shared" si="141"/>
        <v>0</v>
      </c>
      <c r="AD147" s="25">
        <f t="shared" si="142"/>
        <v>0</v>
      </c>
      <c r="AE147" s="25">
        <f t="shared" si="143"/>
        <v>0</v>
      </c>
      <c r="AF147" s="25">
        <f t="shared" si="144"/>
        <v>0</v>
      </c>
      <c r="AG147" s="25">
        <f t="shared" si="145"/>
        <v>0</v>
      </c>
      <c r="AH147" s="25">
        <f t="shared" si="146"/>
        <v>0</v>
      </c>
      <c r="AI147" s="11" t="s">
        <v>46</v>
      </c>
      <c r="AJ147" s="25">
        <f t="shared" si="147"/>
        <v>0</v>
      </c>
      <c r="AK147" s="25">
        <f t="shared" si="148"/>
        <v>0</v>
      </c>
      <c r="AL147" s="25">
        <f t="shared" si="149"/>
        <v>0</v>
      </c>
      <c r="AN147" s="25">
        <v>21</v>
      </c>
      <c r="AO147" s="25">
        <f>G147*0.025766935</f>
        <v>0</v>
      </c>
      <c r="AP147" s="25">
        <f>G147*(1-0.025766935)</f>
        <v>0</v>
      </c>
      <c r="AQ147" s="27" t="s">
        <v>49</v>
      </c>
      <c r="AV147" s="25">
        <f t="shared" si="150"/>
        <v>0</v>
      </c>
      <c r="AW147" s="25">
        <f t="shared" si="151"/>
        <v>0</v>
      </c>
      <c r="AX147" s="25">
        <f t="shared" si="152"/>
        <v>0</v>
      </c>
      <c r="AY147" s="27" t="s">
        <v>445</v>
      </c>
      <c r="AZ147" s="27" t="s">
        <v>305</v>
      </c>
      <c r="BA147" s="11" t="s">
        <v>56</v>
      </c>
      <c r="BC147" s="25">
        <f t="shared" si="153"/>
        <v>0</v>
      </c>
      <c r="BD147" s="25">
        <f t="shared" si="154"/>
        <v>0</v>
      </c>
      <c r="BE147" s="25">
        <v>0</v>
      </c>
      <c r="BF147" s="25">
        <f>147</f>
        <v>147</v>
      </c>
      <c r="BH147" s="25">
        <f t="shared" si="155"/>
        <v>0</v>
      </c>
      <c r="BI147" s="25">
        <f t="shared" si="156"/>
        <v>0</v>
      </c>
      <c r="BJ147" s="25">
        <f t="shared" si="157"/>
        <v>0</v>
      </c>
      <c r="BK147" s="27" t="s">
        <v>57</v>
      </c>
      <c r="BL147" s="25">
        <v>97</v>
      </c>
      <c r="BW147" s="25">
        <v>21</v>
      </c>
      <c r="BX147" s="5" t="s">
        <v>457</v>
      </c>
    </row>
    <row r="148" spans="1:76" x14ac:dyDescent="0.25">
      <c r="A148" s="2" t="s">
        <v>458</v>
      </c>
      <c r="B148" s="3" t="s">
        <v>459</v>
      </c>
      <c r="C148" s="93" t="s">
        <v>460</v>
      </c>
      <c r="D148" s="94"/>
      <c r="E148" s="3" t="s">
        <v>93</v>
      </c>
      <c r="F148" s="25">
        <v>8.19</v>
      </c>
      <c r="G148" s="25">
        <v>0</v>
      </c>
      <c r="H148" s="25">
        <f t="shared" si="136"/>
        <v>0</v>
      </c>
      <c r="I148" s="25">
        <f t="shared" si="137"/>
        <v>0</v>
      </c>
      <c r="J148" s="25">
        <f t="shared" si="138"/>
        <v>0</v>
      </c>
      <c r="K148" s="26" t="s">
        <v>53</v>
      </c>
      <c r="Z148" s="25">
        <f t="shared" si="139"/>
        <v>0</v>
      </c>
      <c r="AB148" s="25">
        <f t="shared" si="140"/>
        <v>0</v>
      </c>
      <c r="AC148" s="25">
        <f t="shared" si="141"/>
        <v>0</v>
      </c>
      <c r="AD148" s="25">
        <f t="shared" si="142"/>
        <v>0</v>
      </c>
      <c r="AE148" s="25">
        <f t="shared" si="143"/>
        <v>0</v>
      </c>
      <c r="AF148" s="25">
        <f t="shared" si="144"/>
        <v>0</v>
      </c>
      <c r="AG148" s="25">
        <f t="shared" si="145"/>
        <v>0</v>
      </c>
      <c r="AH148" s="25">
        <f t="shared" si="146"/>
        <v>0</v>
      </c>
      <c r="AI148" s="11" t="s">
        <v>46</v>
      </c>
      <c r="AJ148" s="25">
        <f t="shared" si="147"/>
        <v>0</v>
      </c>
      <c r="AK148" s="25">
        <f t="shared" si="148"/>
        <v>0</v>
      </c>
      <c r="AL148" s="25">
        <f t="shared" si="149"/>
        <v>0</v>
      </c>
      <c r="AN148" s="25">
        <v>21</v>
      </c>
      <c r="AO148" s="25">
        <f>G148*0.072813635</f>
        <v>0</v>
      </c>
      <c r="AP148" s="25">
        <f>G148*(1-0.072813635)</f>
        <v>0</v>
      </c>
      <c r="AQ148" s="27" t="s">
        <v>49</v>
      </c>
      <c r="AV148" s="25">
        <f t="shared" si="150"/>
        <v>0</v>
      </c>
      <c r="AW148" s="25">
        <f t="shared" si="151"/>
        <v>0</v>
      </c>
      <c r="AX148" s="25">
        <f t="shared" si="152"/>
        <v>0</v>
      </c>
      <c r="AY148" s="27" t="s">
        <v>445</v>
      </c>
      <c r="AZ148" s="27" t="s">
        <v>305</v>
      </c>
      <c r="BA148" s="11" t="s">
        <v>56</v>
      </c>
      <c r="BC148" s="25">
        <f t="shared" si="153"/>
        <v>0</v>
      </c>
      <c r="BD148" s="25">
        <f t="shared" si="154"/>
        <v>0</v>
      </c>
      <c r="BE148" s="25">
        <v>0</v>
      </c>
      <c r="BF148" s="25">
        <f>148</f>
        <v>148</v>
      </c>
      <c r="BH148" s="25">
        <f t="shared" si="155"/>
        <v>0</v>
      </c>
      <c r="BI148" s="25">
        <f t="shared" si="156"/>
        <v>0</v>
      </c>
      <c r="BJ148" s="25">
        <f t="shared" si="157"/>
        <v>0</v>
      </c>
      <c r="BK148" s="27" t="s">
        <v>57</v>
      </c>
      <c r="BL148" s="25">
        <v>97</v>
      </c>
      <c r="BW148" s="25">
        <v>21</v>
      </c>
      <c r="BX148" s="5" t="s">
        <v>460</v>
      </c>
    </row>
    <row r="149" spans="1:76" x14ac:dyDescent="0.25">
      <c r="A149" s="2" t="s">
        <v>461</v>
      </c>
      <c r="B149" s="3" t="s">
        <v>462</v>
      </c>
      <c r="C149" s="93" t="s">
        <v>463</v>
      </c>
      <c r="D149" s="94"/>
      <c r="E149" s="3" t="s">
        <v>93</v>
      </c>
      <c r="F149" s="25">
        <v>1.68</v>
      </c>
      <c r="G149" s="25">
        <v>0</v>
      </c>
      <c r="H149" s="25">
        <f t="shared" si="136"/>
        <v>0</v>
      </c>
      <c r="I149" s="25">
        <f t="shared" si="137"/>
        <v>0</v>
      </c>
      <c r="J149" s="25">
        <f t="shared" si="138"/>
        <v>0</v>
      </c>
      <c r="K149" s="26" t="s">
        <v>53</v>
      </c>
      <c r="Z149" s="25">
        <f t="shared" si="139"/>
        <v>0</v>
      </c>
      <c r="AB149" s="25">
        <f t="shared" si="140"/>
        <v>0</v>
      </c>
      <c r="AC149" s="25">
        <f t="shared" si="141"/>
        <v>0</v>
      </c>
      <c r="AD149" s="25">
        <f t="shared" si="142"/>
        <v>0</v>
      </c>
      <c r="AE149" s="25">
        <f t="shared" si="143"/>
        <v>0</v>
      </c>
      <c r="AF149" s="25">
        <f t="shared" si="144"/>
        <v>0</v>
      </c>
      <c r="AG149" s="25">
        <f t="shared" si="145"/>
        <v>0</v>
      </c>
      <c r="AH149" s="25">
        <f t="shared" si="146"/>
        <v>0</v>
      </c>
      <c r="AI149" s="11" t="s">
        <v>46</v>
      </c>
      <c r="AJ149" s="25">
        <f t="shared" si="147"/>
        <v>0</v>
      </c>
      <c r="AK149" s="25">
        <f t="shared" si="148"/>
        <v>0</v>
      </c>
      <c r="AL149" s="25">
        <f t="shared" si="149"/>
        <v>0</v>
      </c>
      <c r="AN149" s="25">
        <v>21</v>
      </c>
      <c r="AO149" s="25">
        <f>G149*0.072820173</f>
        <v>0</v>
      </c>
      <c r="AP149" s="25">
        <f>G149*(1-0.072820173)</f>
        <v>0</v>
      </c>
      <c r="AQ149" s="27" t="s">
        <v>49</v>
      </c>
      <c r="AV149" s="25">
        <f t="shared" si="150"/>
        <v>0</v>
      </c>
      <c r="AW149" s="25">
        <f t="shared" si="151"/>
        <v>0</v>
      </c>
      <c r="AX149" s="25">
        <f t="shared" si="152"/>
        <v>0</v>
      </c>
      <c r="AY149" s="27" t="s">
        <v>445</v>
      </c>
      <c r="AZ149" s="27" t="s">
        <v>305</v>
      </c>
      <c r="BA149" s="11" t="s">
        <v>56</v>
      </c>
      <c r="BC149" s="25">
        <f t="shared" si="153"/>
        <v>0</v>
      </c>
      <c r="BD149" s="25">
        <f t="shared" si="154"/>
        <v>0</v>
      </c>
      <c r="BE149" s="25">
        <v>0</v>
      </c>
      <c r="BF149" s="25">
        <f>149</f>
        <v>149</v>
      </c>
      <c r="BH149" s="25">
        <f t="shared" si="155"/>
        <v>0</v>
      </c>
      <c r="BI149" s="25">
        <f t="shared" si="156"/>
        <v>0</v>
      </c>
      <c r="BJ149" s="25">
        <f t="shared" si="157"/>
        <v>0</v>
      </c>
      <c r="BK149" s="27" t="s">
        <v>57</v>
      </c>
      <c r="BL149" s="25">
        <v>97</v>
      </c>
      <c r="BW149" s="25">
        <v>21</v>
      </c>
      <c r="BX149" s="5" t="s">
        <v>463</v>
      </c>
    </row>
    <row r="150" spans="1:76" x14ac:dyDescent="0.25">
      <c r="A150" s="2" t="s">
        <v>464</v>
      </c>
      <c r="B150" s="3" t="s">
        <v>465</v>
      </c>
      <c r="C150" s="93" t="s">
        <v>466</v>
      </c>
      <c r="D150" s="94"/>
      <c r="E150" s="3" t="s">
        <v>61</v>
      </c>
      <c r="F150" s="25">
        <v>0.25800000000000001</v>
      </c>
      <c r="G150" s="25">
        <v>0</v>
      </c>
      <c r="H150" s="25">
        <f t="shared" si="136"/>
        <v>0</v>
      </c>
      <c r="I150" s="25">
        <f t="shared" si="137"/>
        <v>0</v>
      </c>
      <c r="J150" s="25">
        <f t="shared" si="138"/>
        <v>0</v>
      </c>
      <c r="K150" s="26" t="s">
        <v>53</v>
      </c>
      <c r="Z150" s="25">
        <f t="shared" si="139"/>
        <v>0</v>
      </c>
      <c r="AB150" s="25">
        <f t="shared" si="140"/>
        <v>0</v>
      </c>
      <c r="AC150" s="25">
        <f t="shared" si="141"/>
        <v>0</v>
      </c>
      <c r="AD150" s="25">
        <f t="shared" si="142"/>
        <v>0</v>
      </c>
      <c r="AE150" s="25">
        <f t="shared" si="143"/>
        <v>0</v>
      </c>
      <c r="AF150" s="25">
        <f t="shared" si="144"/>
        <v>0</v>
      </c>
      <c r="AG150" s="25">
        <f t="shared" si="145"/>
        <v>0</v>
      </c>
      <c r="AH150" s="25">
        <f t="shared" si="146"/>
        <v>0</v>
      </c>
      <c r="AI150" s="11" t="s">
        <v>46</v>
      </c>
      <c r="AJ150" s="25">
        <f t="shared" si="147"/>
        <v>0</v>
      </c>
      <c r="AK150" s="25">
        <f t="shared" si="148"/>
        <v>0</v>
      </c>
      <c r="AL150" s="25">
        <f t="shared" si="149"/>
        <v>0</v>
      </c>
      <c r="AN150" s="25">
        <v>21</v>
      </c>
      <c r="AO150" s="25">
        <f>G150*0.006422018</f>
        <v>0</v>
      </c>
      <c r="AP150" s="25">
        <f>G150*(1-0.006422018)</f>
        <v>0</v>
      </c>
      <c r="AQ150" s="27" t="s">
        <v>49</v>
      </c>
      <c r="AV150" s="25">
        <f t="shared" si="150"/>
        <v>0</v>
      </c>
      <c r="AW150" s="25">
        <f t="shared" si="151"/>
        <v>0</v>
      </c>
      <c r="AX150" s="25">
        <f t="shared" si="152"/>
        <v>0</v>
      </c>
      <c r="AY150" s="27" t="s">
        <v>445</v>
      </c>
      <c r="AZ150" s="27" t="s">
        <v>305</v>
      </c>
      <c r="BA150" s="11" t="s">
        <v>56</v>
      </c>
      <c r="BC150" s="25">
        <f t="shared" si="153"/>
        <v>0</v>
      </c>
      <c r="BD150" s="25">
        <f t="shared" si="154"/>
        <v>0</v>
      </c>
      <c r="BE150" s="25">
        <v>0</v>
      </c>
      <c r="BF150" s="25">
        <f>150</f>
        <v>150</v>
      </c>
      <c r="BH150" s="25">
        <f t="shared" si="155"/>
        <v>0</v>
      </c>
      <c r="BI150" s="25">
        <f t="shared" si="156"/>
        <v>0</v>
      </c>
      <c r="BJ150" s="25">
        <f t="shared" si="157"/>
        <v>0</v>
      </c>
      <c r="BK150" s="27" t="s">
        <v>57</v>
      </c>
      <c r="BL150" s="25">
        <v>97</v>
      </c>
      <c r="BW150" s="25">
        <v>21</v>
      </c>
      <c r="BX150" s="5" t="s">
        <v>466</v>
      </c>
    </row>
    <row r="151" spans="1:76" x14ac:dyDescent="0.25">
      <c r="A151" s="2" t="s">
        <v>467</v>
      </c>
      <c r="B151" s="3" t="s">
        <v>468</v>
      </c>
      <c r="C151" s="93" t="s">
        <v>469</v>
      </c>
      <c r="D151" s="94"/>
      <c r="E151" s="3" t="s">
        <v>52</v>
      </c>
      <c r="F151" s="25">
        <v>58</v>
      </c>
      <c r="G151" s="25">
        <v>0</v>
      </c>
      <c r="H151" s="25">
        <f t="shared" si="136"/>
        <v>0</v>
      </c>
      <c r="I151" s="25">
        <f t="shared" si="137"/>
        <v>0</v>
      </c>
      <c r="J151" s="25">
        <f t="shared" si="138"/>
        <v>0</v>
      </c>
      <c r="K151" s="26" t="s">
        <v>53</v>
      </c>
      <c r="Z151" s="25">
        <f t="shared" si="139"/>
        <v>0</v>
      </c>
      <c r="AB151" s="25">
        <f t="shared" si="140"/>
        <v>0</v>
      </c>
      <c r="AC151" s="25">
        <f t="shared" si="141"/>
        <v>0</v>
      </c>
      <c r="AD151" s="25">
        <f t="shared" si="142"/>
        <v>0</v>
      </c>
      <c r="AE151" s="25">
        <f t="shared" si="143"/>
        <v>0</v>
      </c>
      <c r="AF151" s="25">
        <f t="shared" si="144"/>
        <v>0</v>
      </c>
      <c r="AG151" s="25">
        <f t="shared" si="145"/>
        <v>0</v>
      </c>
      <c r="AH151" s="25">
        <f t="shared" si="146"/>
        <v>0</v>
      </c>
      <c r="AI151" s="11" t="s">
        <v>46</v>
      </c>
      <c r="AJ151" s="25">
        <f t="shared" si="147"/>
        <v>0</v>
      </c>
      <c r="AK151" s="25">
        <f t="shared" si="148"/>
        <v>0</v>
      </c>
      <c r="AL151" s="25">
        <f t="shared" si="149"/>
        <v>0</v>
      </c>
      <c r="AN151" s="25">
        <v>21</v>
      </c>
      <c r="AO151" s="25">
        <f>G151*0.048073702</f>
        <v>0</v>
      </c>
      <c r="AP151" s="25">
        <f>G151*(1-0.048073702)</f>
        <v>0</v>
      </c>
      <c r="AQ151" s="27" t="s">
        <v>49</v>
      </c>
      <c r="AV151" s="25">
        <f t="shared" si="150"/>
        <v>0</v>
      </c>
      <c r="AW151" s="25">
        <f t="shared" si="151"/>
        <v>0</v>
      </c>
      <c r="AX151" s="25">
        <f t="shared" si="152"/>
        <v>0</v>
      </c>
      <c r="AY151" s="27" t="s">
        <v>445</v>
      </c>
      <c r="AZ151" s="27" t="s">
        <v>305</v>
      </c>
      <c r="BA151" s="11" t="s">
        <v>56</v>
      </c>
      <c r="BC151" s="25">
        <f t="shared" si="153"/>
        <v>0</v>
      </c>
      <c r="BD151" s="25">
        <f t="shared" si="154"/>
        <v>0</v>
      </c>
      <c r="BE151" s="25">
        <v>0</v>
      </c>
      <c r="BF151" s="25">
        <f>151</f>
        <v>151</v>
      </c>
      <c r="BH151" s="25">
        <f t="shared" si="155"/>
        <v>0</v>
      </c>
      <c r="BI151" s="25">
        <f t="shared" si="156"/>
        <v>0</v>
      </c>
      <c r="BJ151" s="25">
        <f t="shared" si="157"/>
        <v>0</v>
      </c>
      <c r="BK151" s="27" t="s">
        <v>57</v>
      </c>
      <c r="BL151" s="25">
        <v>97</v>
      </c>
      <c r="BW151" s="25">
        <v>21</v>
      </c>
      <c r="BX151" s="5" t="s">
        <v>469</v>
      </c>
    </row>
    <row r="152" spans="1:76" x14ac:dyDescent="0.25">
      <c r="A152" s="2" t="s">
        <v>470</v>
      </c>
      <c r="B152" s="3" t="s">
        <v>471</v>
      </c>
      <c r="C152" s="93" t="s">
        <v>472</v>
      </c>
      <c r="D152" s="94"/>
      <c r="E152" s="3" t="s">
        <v>93</v>
      </c>
      <c r="F152" s="25">
        <v>1043.1110000000001</v>
      </c>
      <c r="G152" s="25">
        <v>0</v>
      </c>
      <c r="H152" s="25">
        <f t="shared" si="136"/>
        <v>0</v>
      </c>
      <c r="I152" s="25">
        <f t="shared" si="137"/>
        <v>0</v>
      </c>
      <c r="J152" s="25">
        <f t="shared" si="138"/>
        <v>0</v>
      </c>
      <c r="K152" s="26" t="s">
        <v>53</v>
      </c>
      <c r="Z152" s="25">
        <f t="shared" si="139"/>
        <v>0</v>
      </c>
      <c r="AB152" s="25">
        <f t="shared" si="140"/>
        <v>0</v>
      </c>
      <c r="AC152" s="25">
        <f t="shared" si="141"/>
        <v>0</v>
      </c>
      <c r="AD152" s="25">
        <f t="shared" si="142"/>
        <v>0</v>
      </c>
      <c r="AE152" s="25">
        <f t="shared" si="143"/>
        <v>0</v>
      </c>
      <c r="AF152" s="25">
        <f t="shared" si="144"/>
        <v>0</v>
      </c>
      <c r="AG152" s="25">
        <f t="shared" si="145"/>
        <v>0</v>
      </c>
      <c r="AH152" s="25">
        <f t="shared" si="146"/>
        <v>0</v>
      </c>
      <c r="AI152" s="11" t="s">
        <v>46</v>
      </c>
      <c r="AJ152" s="25">
        <f t="shared" si="147"/>
        <v>0</v>
      </c>
      <c r="AK152" s="25">
        <f t="shared" si="148"/>
        <v>0</v>
      </c>
      <c r="AL152" s="25">
        <f t="shared" si="149"/>
        <v>0</v>
      </c>
      <c r="AN152" s="25">
        <v>21</v>
      </c>
      <c r="AO152" s="25">
        <f>G152*0</f>
        <v>0</v>
      </c>
      <c r="AP152" s="25">
        <f>G152*(1-0)</f>
        <v>0</v>
      </c>
      <c r="AQ152" s="27" t="s">
        <v>49</v>
      </c>
      <c r="AV152" s="25">
        <f t="shared" si="150"/>
        <v>0</v>
      </c>
      <c r="AW152" s="25">
        <f t="shared" si="151"/>
        <v>0</v>
      </c>
      <c r="AX152" s="25">
        <f t="shared" si="152"/>
        <v>0</v>
      </c>
      <c r="AY152" s="27" t="s">
        <v>445</v>
      </c>
      <c r="AZ152" s="27" t="s">
        <v>305</v>
      </c>
      <c r="BA152" s="11" t="s">
        <v>56</v>
      </c>
      <c r="BC152" s="25">
        <f t="shared" si="153"/>
        <v>0</v>
      </c>
      <c r="BD152" s="25">
        <f t="shared" si="154"/>
        <v>0</v>
      </c>
      <c r="BE152" s="25">
        <v>0</v>
      </c>
      <c r="BF152" s="25">
        <f>152</f>
        <v>152</v>
      </c>
      <c r="BH152" s="25">
        <f t="shared" si="155"/>
        <v>0</v>
      </c>
      <c r="BI152" s="25">
        <f t="shared" si="156"/>
        <v>0</v>
      </c>
      <c r="BJ152" s="25">
        <f t="shared" si="157"/>
        <v>0</v>
      </c>
      <c r="BK152" s="27" t="s">
        <v>57</v>
      </c>
      <c r="BL152" s="25">
        <v>97</v>
      </c>
      <c r="BW152" s="25">
        <v>21</v>
      </c>
      <c r="BX152" s="5" t="s">
        <v>472</v>
      </c>
    </row>
    <row r="153" spans="1:76" x14ac:dyDescent="0.25">
      <c r="A153" s="2" t="s">
        <v>473</v>
      </c>
      <c r="B153" s="3" t="s">
        <v>474</v>
      </c>
      <c r="C153" s="93" t="s">
        <v>475</v>
      </c>
      <c r="D153" s="94"/>
      <c r="E153" s="3" t="s">
        <v>93</v>
      </c>
      <c r="F153" s="25">
        <v>1043.1110000000001</v>
      </c>
      <c r="G153" s="25">
        <v>0</v>
      </c>
      <c r="H153" s="25">
        <f t="shared" si="136"/>
        <v>0</v>
      </c>
      <c r="I153" s="25">
        <f t="shared" si="137"/>
        <v>0</v>
      </c>
      <c r="J153" s="25">
        <f t="shared" si="138"/>
        <v>0</v>
      </c>
      <c r="K153" s="26" t="s">
        <v>53</v>
      </c>
      <c r="Z153" s="25">
        <f t="shared" si="139"/>
        <v>0</v>
      </c>
      <c r="AB153" s="25">
        <f t="shared" si="140"/>
        <v>0</v>
      </c>
      <c r="AC153" s="25">
        <f t="shared" si="141"/>
        <v>0</v>
      </c>
      <c r="AD153" s="25">
        <f t="shared" si="142"/>
        <v>0</v>
      </c>
      <c r="AE153" s="25">
        <f t="shared" si="143"/>
        <v>0</v>
      </c>
      <c r="AF153" s="25">
        <f t="shared" si="144"/>
        <v>0</v>
      </c>
      <c r="AG153" s="25">
        <f t="shared" si="145"/>
        <v>0</v>
      </c>
      <c r="AH153" s="25">
        <f t="shared" si="146"/>
        <v>0</v>
      </c>
      <c r="AI153" s="11" t="s">
        <v>46</v>
      </c>
      <c r="AJ153" s="25">
        <f t="shared" si="147"/>
        <v>0</v>
      </c>
      <c r="AK153" s="25">
        <f t="shared" si="148"/>
        <v>0</v>
      </c>
      <c r="AL153" s="25">
        <f t="shared" si="149"/>
        <v>0</v>
      </c>
      <c r="AN153" s="25">
        <v>21</v>
      </c>
      <c r="AO153" s="25">
        <f>G153*0</f>
        <v>0</v>
      </c>
      <c r="AP153" s="25">
        <f>G153*(1-0)</f>
        <v>0</v>
      </c>
      <c r="AQ153" s="27" t="s">
        <v>49</v>
      </c>
      <c r="AV153" s="25">
        <f t="shared" si="150"/>
        <v>0</v>
      </c>
      <c r="AW153" s="25">
        <f t="shared" si="151"/>
        <v>0</v>
      </c>
      <c r="AX153" s="25">
        <f t="shared" si="152"/>
        <v>0</v>
      </c>
      <c r="AY153" s="27" t="s">
        <v>445</v>
      </c>
      <c r="AZ153" s="27" t="s">
        <v>305</v>
      </c>
      <c r="BA153" s="11" t="s">
        <v>56</v>
      </c>
      <c r="BC153" s="25">
        <f t="shared" si="153"/>
        <v>0</v>
      </c>
      <c r="BD153" s="25">
        <f t="shared" si="154"/>
        <v>0</v>
      </c>
      <c r="BE153" s="25">
        <v>0</v>
      </c>
      <c r="BF153" s="25">
        <f>153</f>
        <v>153</v>
      </c>
      <c r="BH153" s="25">
        <f t="shared" si="155"/>
        <v>0</v>
      </c>
      <c r="BI153" s="25">
        <f t="shared" si="156"/>
        <v>0</v>
      </c>
      <c r="BJ153" s="25">
        <f t="shared" si="157"/>
        <v>0</v>
      </c>
      <c r="BK153" s="27" t="s">
        <v>57</v>
      </c>
      <c r="BL153" s="25">
        <v>97</v>
      </c>
      <c r="BW153" s="25">
        <v>21</v>
      </c>
      <c r="BX153" s="5" t="s">
        <v>475</v>
      </c>
    </row>
    <row r="154" spans="1:76" x14ac:dyDescent="0.25">
      <c r="A154" s="2" t="s">
        <v>476</v>
      </c>
      <c r="B154" s="3" t="s">
        <v>477</v>
      </c>
      <c r="C154" s="93" t="s">
        <v>478</v>
      </c>
      <c r="D154" s="94"/>
      <c r="E154" s="3" t="s">
        <v>93</v>
      </c>
      <c r="F154" s="25">
        <v>256.89800000000002</v>
      </c>
      <c r="G154" s="25">
        <v>0</v>
      </c>
      <c r="H154" s="25">
        <f t="shared" si="136"/>
        <v>0</v>
      </c>
      <c r="I154" s="25">
        <f t="shared" si="137"/>
        <v>0</v>
      </c>
      <c r="J154" s="25">
        <f t="shared" si="138"/>
        <v>0</v>
      </c>
      <c r="K154" s="26" t="s">
        <v>53</v>
      </c>
      <c r="Z154" s="25">
        <f t="shared" si="139"/>
        <v>0</v>
      </c>
      <c r="AB154" s="25">
        <f t="shared" si="140"/>
        <v>0</v>
      </c>
      <c r="AC154" s="25">
        <f t="shared" si="141"/>
        <v>0</v>
      </c>
      <c r="AD154" s="25">
        <f t="shared" si="142"/>
        <v>0</v>
      </c>
      <c r="AE154" s="25">
        <f t="shared" si="143"/>
        <v>0</v>
      </c>
      <c r="AF154" s="25">
        <f t="shared" si="144"/>
        <v>0</v>
      </c>
      <c r="AG154" s="25">
        <f t="shared" si="145"/>
        <v>0</v>
      </c>
      <c r="AH154" s="25">
        <f t="shared" si="146"/>
        <v>0</v>
      </c>
      <c r="AI154" s="11" t="s">
        <v>46</v>
      </c>
      <c r="AJ154" s="25">
        <f t="shared" si="147"/>
        <v>0</v>
      </c>
      <c r="AK154" s="25">
        <f t="shared" si="148"/>
        <v>0</v>
      </c>
      <c r="AL154" s="25">
        <f t="shared" si="149"/>
        <v>0</v>
      </c>
      <c r="AN154" s="25">
        <v>21</v>
      </c>
      <c r="AO154" s="25">
        <f>G154*0</f>
        <v>0</v>
      </c>
      <c r="AP154" s="25">
        <f>G154*(1-0)</f>
        <v>0</v>
      </c>
      <c r="AQ154" s="27" t="s">
        <v>49</v>
      </c>
      <c r="AV154" s="25">
        <f t="shared" si="150"/>
        <v>0</v>
      </c>
      <c r="AW154" s="25">
        <f t="shared" si="151"/>
        <v>0</v>
      </c>
      <c r="AX154" s="25">
        <f t="shared" si="152"/>
        <v>0</v>
      </c>
      <c r="AY154" s="27" t="s">
        <v>445</v>
      </c>
      <c r="AZ154" s="27" t="s">
        <v>305</v>
      </c>
      <c r="BA154" s="11" t="s">
        <v>56</v>
      </c>
      <c r="BC154" s="25">
        <f t="shared" si="153"/>
        <v>0</v>
      </c>
      <c r="BD154" s="25">
        <f t="shared" si="154"/>
        <v>0</v>
      </c>
      <c r="BE154" s="25">
        <v>0</v>
      </c>
      <c r="BF154" s="25">
        <f>154</f>
        <v>154</v>
      </c>
      <c r="BH154" s="25">
        <f t="shared" si="155"/>
        <v>0</v>
      </c>
      <c r="BI154" s="25">
        <f t="shared" si="156"/>
        <v>0</v>
      </c>
      <c r="BJ154" s="25">
        <f t="shared" si="157"/>
        <v>0</v>
      </c>
      <c r="BK154" s="27" t="s">
        <v>57</v>
      </c>
      <c r="BL154" s="25">
        <v>97</v>
      </c>
      <c r="BW154" s="25">
        <v>21</v>
      </c>
      <c r="BX154" s="5" t="s">
        <v>478</v>
      </c>
    </row>
    <row r="155" spans="1:76" x14ac:dyDescent="0.25">
      <c r="A155" s="28" t="s">
        <v>46</v>
      </c>
      <c r="B155" s="29" t="s">
        <v>479</v>
      </c>
      <c r="C155" s="150" t="s">
        <v>480</v>
      </c>
      <c r="D155" s="151"/>
      <c r="E155" s="30" t="s">
        <v>4</v>
      </c>
      <c r="F155" s="30" t="s">
        <v>4</v>
      </c>
      <c r="G155" s="30" t="s">
        <v>4</v>
      </c>
      <c r="H155" s="1">
        <f>ROUND(SUM(H156:H172),1)</f>
        <v>0</v>
      </c>
      <c r="I155" s="1">
        <f>ROUND(SUM(I156:I172),1)</f>
        <v>0</v>
      </c>
      <c r="J155" s="1">
        <f>ROUND(SUM(J156:J172),1)</f>
        <v>0</v>
      </c>
      <c r="K155" s="31" t="s">
        <v>46</v>
      </c>
      <c r="AI155" s="11" t="s">
        <v>46</v>
      </c>
      <c r="AS155" s="1">
        <f>SUM(AJ156:AJ172)</f>
        <v>0</v>
      </c>
      <c r="AT155" s="1">
        <f>SUM(AK156:AK172)</f>
        <v>0</v>
      </c>
      <c r="AU155" s="1">
        <f>SUM(AL156:AL172)</f>
        <v>0</v>
      </c>
    </row>
    <row r="156" spans="1:76" x14ac:dyDescent="0.25">
      <c r="A156" s="2" t="s">
        <v>481</v>
      </c>
      <c r="B156" s="3" t="s">
        <v>482</v>
      </c>
      <c r="C156" s="93" t="s">
        <v>483</v>
      </c>
      <c r="D156" s="94"/>
      <c r="E156" s="3" t="s">
        <v>71</v>
      </c>
      <c r="F156" s="25">
        <v>108.056</v>
      </c>
      <c r="G156" s="25">
        <v>0</v>
      </c>
      <c r="H156" s="25">
        <f t="shared" ref="H156:H172" si="158">ROUND(F156*AO156,2)</f>
        <v>0</v>
      </c>
      <c r="I156" s="25">
        <f t="shared" ref="I156:I172" si="159">ROUND(F156*AP156,2)</f>
        <v>0</v>
      </c>
      <c r="J156" s="25">
        <f t="shared" ref="J156:J172" si="160">ROUND(F156*G156,1)</f>
        <v>0</v>
      </c>
      <c r="K156" s="26" t="s">
        <v>53</v>
      </c>
      <c r="Z156" s="25">
        <f t="shared" ref="Z156:Z172" si="161">ROUND(IF(AQ156="5",BJ156,0),2)</f>
        <v>0</v>
      </c>
      <c r="AB156" s="25">
        <f t="shared" ref="AB156:AB172" si="162">ROUND(IF(AQ156="1",BH156,0),2)</f>
        <v>0</v>
      </c>
      <c r="AC156" s="25">
        <f t="shared" ref="AC156:AC172" si="163">ROUND(IF(AQ156="1",BI156,0),2)</f>
        <v>0</v>
      </c>
      <c r="AD156" s="25">
        <f t="shared" ref="AD156:AD172" si="164">ROUND(IF(AQ156="7",BH156,0),2)</f>
        <v>0</v>
      </c>
      <c r="AE156" s="25">
        <f t="shared" ref="AE156:AE172" si="165">ROUND(IF(AQ156="7",BI156,0),2)</f>
        <v>0</v>
      </c>
      <c r="AF156" s="25">
        <f t="shared" ref="AF156:AF172" si="166">ROUND(IF(AQ156="2",BH156,0),2)</f>
        <v>0</v>
      </c>
      <c r="AG156" s="25">
        <f t="shared" ref="AG156:AG172" si="167">ROUND(IF(AQ156="2",BI156,0),2)</f>
        <v>0</v>
      </c>
      <c r="AH156" s="25">
        <f t="shared" ref="AH156:AH172" si="168">ROUND(IF(AQ156="0",BJ156,0),2)</f>
        <v>0</v>
      </c>
      <c r="AI156" s="11" t="s">
        <v>46</v>
      </c>
      <c r="AJ156" s="25">
        <f t="shared" ref="AJ156:AJ172" si="169">IF(AN156=0,J156,0)</f>
        <v>0</v>
      </c>
      <c r="AK156" s="25">
        <f t="shared" ref="AK156:AK172" si="170">IF(AN156=12,J156,0)</f>
        <v>0</v>
      </c>
      <c r="AL156" s="25">
        <f t="shared" ref="AL156:AL172" si="171">IF(AN156=21,J156,0)</f>
        <v>0</v>
      </c>
      <c r="AN156" s="25">
        <v>21</v>
      </c>
      <c r="AO156" s="25">
        <f t="shared" ref="AO156:AO172" si="172">G156*0</f>
        <v>0</v>
      </c>
      <c r="AP156" s="25">
        <f t="shared" ref="AP156:AP172" si="173">G156*(1-0)</f>
        <v>0</v>
      </c>
      <c r="AQ156" s="27" t="s">
        <v>68</v>
      </c>
      <c r="AV156" s="25">
        <f t="shared" ref="AV156:AV172" si="174">ROUND(AW156+AX156,2)</f>
        <v>0</v>
      </c>
      <c r="AW156" s="25">
        <f t="shared" ref="AW156:AW172" si="175">ROUND(F156*AO156,2)</f>
        <v>0</v>
      </c>
      <c r="AX156" s="25">
        <f t="shared" ref="AX156:AX172" si="176">ROUND(F156*AP156,2)</f>
        <v>0</v>
      </c>
      <c r="AY156" s="27" t="s">
        <v>484</v>
      </c>
      <c r="AZ156" s="27" t="s">
        <v>305</v>
      </c>
      <c r="BA156" s="11" t="s">
        <v>56</v>
      </c>
      <c r="BC156" s="25">
        <f t="shared" ref="BC156:BC172" si="177">AW156+AX156</f>
        <v>0</v>
      </c>
      <c r="BD156" s="25">
        <f t="shared" ref="BD156:BD172" si="178">G156/(100-BE156)*100</f>
        <v>0</v>
      </c>
      <c r="BE156" s="25">
        <v>0</v>
      </c>
      <c r="BF156" s="25">
        <f>156</f>
        <v>156</v>
      </c>
      <c r="BH156" s="25">
        <f t="shared" ref="BH156:BH172" si="179">F156*AO156</f>
        <v>0</v>
      </c>
      <c r="BI156" s="25">
        <f t="shared" ref="BI156:BI172" si="180">F156*AP156</f>
        <v>0</v>
      </c>
      <c r="BJ156" s="25">
        <f t="shared" ref="BJ156:BJ172" si="181">F156*G156</f>
        <v>0</v>
      </c>
      <c r="BK156" s="27" t="s">
        <v>57</v>
      </c>
      <c r="BL156" s="25"/>
      <c r="BW156" s="25">
        <v>21</v>
      </c>
      <c r="BX156" s="5" t="s">
        <v>483</v>
      </c>
    </row>
    <row r="157" spans="1:76" x14ac:dyDescent="0.25">
      <c r="A157" s="2" t="s">
        <v>485</v>
      </c>
      <c r="B157" s="3" t="s">
        <v>486</v>
      </c>
      <c r="C157" s="93" t="s">
        <v>487</v>
      </c>
      <c r="D157" s="94"/>
      <c r="E157" s="3" t="s">
        <v>71</v>
      </c>
      <c r="F157" s="25">
        <v>216.11199999999999</v>
      </c>
      <c r="G157" s="25">
        <v>0</v>
      </c>
      <c r="H157" s="25">
        <f t="shared" si="158"/>
        <v>0</v>
      </c>
      <c r="I157" s="25">
        <f t="shared" si="159"/>
        <v>0</v>
      </c>
      <c r="J157" s="25">
        <f t="shared" si="160"/>
        <v>0</v>
      </c>
      <c r="K157" s="26" t="s">
        <v>53</v>
      </c>
      <c r="Z157" s="25">
        <f t="shared" si="161"/>
        <v>0</v>
      </c>
      <c r="AB157" s="25">
        <f t="shared" si="162"/>
        <v>0</v>
      </c>
      <c r="AC157" s="25">
        <f t="shared" si="163"/>
        <v>0</v>
      </c>
      <c r="AD157" s="25">
        <f t="shared" si="164"/>
        <v>0</v>
      </c>
      <c r="AE157" s="25">
        <f t="shared" si="165"/>
        <v>0</v>
      </c>
      <c r="AF157" s="25">
        <f t="shared" si="166"/>
        <v>0</v>
      </c>
      <c r="AG157" s="25">
        <f t="shared" si="167"/>
        <v>0</v>
      </c>
      <c r="AH157" s="25">
        <f t="shared" si="168"/>
        <v>0</v>
      </c>
      <c r="AI157" s="11" t="s">
        <v>46</v>
      </c>
      <c r="AJ157" s="25">
        <f t="shared" si="169"/>
        <v>0</v>
      </c>
      <c r="AK157" s="25">
        <f t="shared" si="170"/>
        <v>0</v>
      </c>
      <c r="AL157" s="25">
        <f t="shared" si="171"/>
        <v>0</v>
      </c>
      <c r="AN157" s="25">
        <v>21</v>
      </c>
      <c r="AO157" s="25">
        <f t="shared" si="172"/>
        <v>0</v>
      </c>
      <c r="AP157" s="25">
        <f t="shared" si="173"/>
        <v>0</v>
      </c>
      <c r="AQ157" s="27" t="s">
        <v>68</v>
      </c>
      <c r="AV157" s="25">
        <f t="shared" si="174"/>
        <v>0</v>
      </c>
      <c r="AW157" s="25">
        <f t="shared" si="175"/>
        <v>0</v>
      </c>
      <c r="AX157" s="25">
        <f t="shared" si="176"/>
        <v>0</v>
      </c>
      <c r="AY157" s="27" t="s">
        <v>484</v>
      </c>
      <c r="AZ157" s="27" t="s">
        <v>305</v>
      </c>
      <c r="BA157" s="11" t="s">
        <v>56</v>
      </c>
      <c r="BC157" s="25">
        <f t="shared" si="177"/>
        <v>0</v>
      </c>
      <c r="BD157" s="25">
        <f t="shared" si="178"/>
        <v>0</v>
      </c>
      <c r="BE157" s="25">
        <v>0</v>
      </c>
      <c r="BF157" s="25">
        <f>157</f>
        <v>157</v>
      </c>
      <c r="BH157" s="25">
        <f t="shared" si="179"/>
        <v>0</v>
      </c>
      <c r="BI157" s="25">
        <f t="shared" si="180"/>
        <v>0</v>
      </c>
      <c r="BJ157" s="25">
        <f t="shared" si="181"/>
        <v>0</v>
      </c>
      <c r="BK157" s="27" t="s">
        <v>57</v>
      </c>
      <c r="BL157" s="25"/>
      <c r="BW157" s="25">
        <v>21</v>
      </c>
      <c r="BX157" s="5" t="s">
        <v>487</v>
      </c>
    </row>
    <row r="158" spans="1:76" x14ac:dyDescent="0.25">
      <c r="A158" s="2" t="s">
        <v>488</v>
      </c>
      <c r="B158" s="3" t="s">
        <v>489</v>
      </c>
      <c r="C158" s="93" t="s">
        <v>490</v>
      </c>
      <c r="D158" s="94"/>
      <c r="E158" s="3" t="s">
        <v>71</v>
      </c>
      <c r="F158" s="25">
        <v>108.056</v>
      </c>
      <c r="G158" s="25">
        <v>0</v>
      </c>
      <c r="H158" s="25">
        <f t="shared" si="158"/>
        <v>0</v>
      </c>
      <c r="I158" s="25">
        <f t="shared" si="159"/>
        <v>0</v>
      </c>
      <c r="J158" s="25">
        <f t="shared" si="160"/>
        <v>0</v>
      </c>
      <c r="K158" s="26" t="s">
        <v>53</v>
      </c>
      <c r="Z158" s="25">
        <f t="shared" si="161"/>
        <v>0</v>
      </c>
      <c r="AB158" s="25">
        <f t="shared" si="162"/>
        <v>0</v>
      </c>
      <c r="AC158" s="25">
        <f t="shared" si="163"/>
        <v>0</v>
      </c>
      <c r="AD158" s="25">
        <f t="shared" si="164"/>
        <v>0</v>
      </c>
      <c r="AE158" s="25">
        <f t="shared" si="165"/>
        <v>0</v>
      </c>
      <c r="AF158" s="25">
        <f t="shared" si="166"/>
        <v>0</v>
      </c>
      <c r="AG158" s="25">
        <f t="shared" si="167"/>
        <v>0</v>
      </c>
      <c r="AH158" s="25">
        <f t="shared" si="168"/>
        <v>0</v>
      </c>
      <c r="AI158" s="11" t="s">
        <v>46</v>
      </c>
      <c r="AJ158" s="25">
        <f t="shared" si="169"/>
        <v>0</v>
      </c>
      <c r="AK158" s="25">
        <f t="shared" si="170"/>
        <v>0</v>
      </c>
      <c r="AL158" s="25">
        <f t="shared" si="171"/>
        <v>0</v>
      </c>
      <c r="AN158" s="25">
        <v>21</v>
      </c>
      <c r="AO158" s="25">
        <f t="shared" si="172"/>
        <v>0</v>
      </c>
      <c r="AP158" s="25">
        <f t="shared" si="173"/>
        <v>0</v>
      </c>
      <c r="AQ158" s="27" t="s">
        <v>68</v>
      </c>
      <c r="AV158" s="25">
        <f t="shared" si="174"/>
        <v>0</v>
      </c>
      <c r="AW158" s="25">
        <f t="shared" si="175"/>
        <v>0</v>
      </c>
      <c r="AX158" s="25">
        <f t="shared" si="176"/>
        <v>0</v>
      </c>
      <c r="AY158" s="27" t="s">
        <v>484</v>
      </c>
      <c r="AZ158" s="27" t="s">
        <v>305</v>
      </c>
      <c r="BA158" s="11" t="s">
        <v>56</v>
      </c>
      <c r="BC158" s="25">
        <f t="shared" si="177"/>
        <v>0</v>
      </c>
      <c r="BD158" s="25">
        <f t="shared" si="178"/>
        <v>0</v>
      </c>
      <c r="BE158" s="25">
        <v>0</v>
      </c>
      <c r="BF158" s="25">
        <f>158</f>
        <v>158</v>
      </c>
      <c r="BH158" s="25">
        <f t="shared" si="179"/>
        <v>0</v>
      </c>
      <c r="BI158" s="25">
        <f t="shared" si="180"/>
        <v>0</v>
      </c>
      <c r="BJ158" s="25">
        <f t="shared" si="181"/>
        <v>0</v>
      </c>
      <c r="BK158" s="27" t="s">
        <v>57</v>
      </c>
      <c r="BL158" s="25"/>
      <c r="BW158" s="25">
        <v>21</v>
      </c>
      <c r="BX158" s="5" t="s">
        <v>490</v>
      </c>
    </row>
    <row r="159" spans="1:76" x14ac:dyDescent="0.25">
      <c r="A159" s="2" t="s">
        <v>491</v>
      </c>
      <c r="B159" s="3" t="s">
        <v>492</v>
      </c>
      <c r="C159" s="93" t="s">
        <v>493</v>
      </c>
      <c r="D159" s="94"/>
      <c r="E159" s="3" t="s">
        <v>71</v>
      </c>
      <c r="F159" s="25">
        <v>2053.0639999999999</v>
      </c>
      <c r="G159" s="25">
        <v>0</v>
      </c>
      <c r="H159" s="25">
        <f t="shared" si="158"/>
        <v>0</v>
      </c>
      <c r="I159" s="25">
        <f t="shared" si="159"/>
        <v>0</v>
      </c>
      <c r="J159" s="25">
        <f t="shared" si="160"/>
        <v>0</v>
      </c>
      <c r="K159" s="26" t="s">
        <v>53</v>
      </c>
      <c r="Z159" s="25">
        <f t="shared" si="161"/>
        <v>0</v>
      </c>
      <c r="AB159" s="25">
        <f t="shared" si="162"/>
        <v>0</v>
      </c>
      <c r="AC159" s="25">
        <f t="shared" si="163"/>
        <v>0</v>
      </c>
      <c r="AD159" s="25">
        <f t="shared" si="164"/>
        <v>0</v>
      </c>
      <c r="AE159" s="25">
        <f t="shared" si="165"/>
        <v>0</v>
      </c>
      <c r="AF159" s="25">
        <f t="shared" si="166"/>
        <v>0</v>
      </c>
      <c r="AG159" s="25">
        <f t="shared" si="167"/>
        <v>0</v>
      </c>
      <c r="AH159" s="25">
        <f t="shared" si="168"/>
        <v>0</v>
      </c>
      <c r="AI159" s="11" t="s">
        <v>46</v>
      </c>
      <c r="AJ159" s="25">
        <f t="shared" si="169"/>
        <v>0</v>
      </c>
      <c r="AK159" s="25">
        <f t="shared" si="170"/>
        <v>0</v>
      </c>
      <c r="AL159" s="25">
        <f t="shared" si="171"/>
        <v>0</v>
      </c>
      <c r="AN159" s="25">
        <v>21</v>
      </c>
      <c r="AO159" s="25">
        <f t="shared" si="172"/>
        <v>0</v>
      </c>
      <c r="AP159" s="25">
        <f t="shared" si="173"/>
        <v>0</v>
      </c>
      <c r="AQ159" s="27" t="s">
        <v>68</v>
      </c>
      <c r="AV159" s="25">
        <f t="shared" si="174"/>
        <v>0</v>
      </c>
      <c r="AW159" s="25">
        <f t="shared" si="175"/>
        <v>0</v>
      </c>
      <c r="AX159" s="25">
        <f t="shared" si="176"/>
        <v>0</v>
      </c>
      <c r="AY159" s="27" t="s">
        <v>484</v>
      </c>
      <c r="AZ159" s="27" t="s">
        <v>305</v>
      </c>
      <c r="BA159" s="11" t="s">
        <v>56</v>
      </c>
      <c r="BC159" s="25">
        <f t="shared" si="177"/>
        <v>0</v>
      </c>
      <c r="BD159" s="25">
        <f t="shared" si="178"/>
        <v>0</v>
      </c>
      <c r="BE159" s="25">
        <v>0</v>
      </c>
      <c r="BF159" s="25">
        <f>159</f>
        <v>159</v>
      </c>
      <c r="BH159" s="25">
        <f t="shared" si="179"/>
        <v>0</v>
      </c>
      <c r="BI159" s="25">
        <f t="shared" si="180"/>
        <v>0</v>
      </c>
      <c r="BJ159" s="25">
        <f t="shared" si="181"/>
        <v>0</v>
      </c>
      <c r="BK159" s="27" t="s">
        <v>57</v>
      </c>
      <c r="BL159" s="25"/>
      <c r="BW159" s="25">
        <v>21</v>
      </c>
      <c r="BX159" s="5" t="s">
        <v>493</v>
      </c>
    </row>
    <row r="160" spans="1:76" x14ac:dyDescent="0.25">
      <c r="A160" s="2" t="s">
        <v>494</v>
      </c>
      <c r="B160" s="3" t="s">
        <v>495</v>
      </c>
      <c r="C160" s="93" t="s">
        <v>496</v>
      </c>
      <c r="D160" s="94"/>
      <c r="E160" s="3" t="s">
        <v>71</v>
      </c>
      <c r="F160" s="25">
        <v>108.056</v>
      </c>
      <c r="G160" s="25">
        <v>0</v>
      </c>
      <c r="H160" s="25">
        <f t="shared" si="158"/>
        <v>0</v>
      </c>
      <c r="I160" s="25">
        <f t="shared" si="159"/>
        <v>0</v>
      </c>
      <c r="J160" s="25">
        <f t="shared" si="160"/>
        <v>0</v>
      </c>
      <c r="K160" s="26" t="s">
        <v>53</v>
      </c>
      <c r="Z160" s="25">
        <f t="shared" si="161"/>
        <v>0</v>
      </c>
      <c r="AB160" s="25">
        <f t="shared" si="162"/>
        <v>0</v>
      </c>
      <c r="AC160" s="25">
        <f t="shared" si="163"/>
        <v>0</v>
      </c>
      <c r="AD160" s="25">
        <f t="shared" si="164"/>
        <v>0</v>
      </c>
      <c r="AE160" s="25">
        <f t="shared" si="165"/>
        <v>0</v>
      </c>
      <c r="AF160" s="25">
        <f t="shared" si="166"/>
        <v>0</v>
      </c>
      <c r="AG160" s="25">
        <f t="shared" si="167"/>
        <v>0</v>
      </c>
      <c r="AH160" s="25">
        <f t="shared" si="168"/>
        <v>0</v>
      </c>
      <c r="AI160" s="11" t="s">
        <v>46</v>
      </c>
      <c r="AJ160" s="25">
        <f t="shared" si="169"/>
        <v>0</v>
      </c>
      <c r="AK160" s="25">
        <f t="shared" si="170"/>
        <v>0</v>
      </c>
      <c r="AL160" s="25">
        <f t="shared" si="171"/>
        <v>0</v>
      </c>
      <c r="AN160" s="25">
        <v>21</v>
      </c>
      <c r="AO160" s="25">
        <f t="shared" si="172"/>
        <v>0</v>
      </c>
      <c r="AP160" s="25">
        <f t="shared" si="173"/>
        <v>0</v>
      </c>
      <c r="AQ160" s="27" t="s">
        <v>68</v>
      </c>
      <c r="AV160" s="25">
        <f t="shared" si="174"/>
        <v>0</v>
      </c>
      <c r="AW160" s="25">
        <f t="shared" si="175"/>
        <v>0</v>
      </c>
      <c r="AX160" s="25">
        <f t="shared" si="176"/>
        <v>0</v>
      </c>
      <c r="AY160" s="27" t="s">
        <v>484</v>
      </c>
      <c r="AZ160" s="27" t="s">
        <v>305</v>
      </c>
      <c r="BA160" s="11" t="s">
        <v>56</v>
      </c>
      <c r="BC160" s="25">
        <f t="shared" si="177"/>
        <v>0</v>
      </c>
      <c r="BD160" s="25">
        <f t="shared" si="178"/>
        <v>0</v>
      </c>
      <c r="BE160" s="25">
        <v>0</v>
      </c>
      <c r="BF160" s="25">
        <f>160</f>
        <v>160</v>
      </c>
      <c r="BH160" s="25">
        <f t="shared" si="179"/>
        <v>0</v>
      </c>
      <c r="BI160" s="25">
        <f t="shared" si="180"/>
        <v>0</v>
      </c>
      <c r="BJ160" s="25">
        <f t="shared" si="181"/>
        <v>0</v>
      </c>
      <c r="BK160" s="27" t="s">
        <v>57</v>
      </c>
      <c r="BL160" s="25"/>
      <c r="BW160" s="25">
        <v>21</v>
      </c>
      <c r="BX160" s="5" t="s">
        <v>496</v>
      </c>
    </row>
    <row r="161" spans="1:76" x14ac:dyDescent="0.25">
      <c r="A161" s="2" t="s">
        <v>497</v>
      </c>
      <c r="B161" s="3" t="s">
        <v>498</v>
      </c>
      <c r="C161" s="93" t="s">
        <v>499</v>
      </c>
      <c r="D161" s="94"/>
      <c r="E161" s="3" t="s">
        <v>71</v>
      </c>
      <c r="F161" s="25">
        <v>108.056</v>
      </c>
      <c r="G161" s="25">
        <v>0</v>
      </c>
      <c r="H161" s="25">
        <f t="shared" si="158"/>
        <v>0</v>
      </c>
      <c r="I161" s="25">
        <f t="shared" si="159"/>
        <v>0</v>
      </c>
      <c r="J161" s="25">
        <f t="shared" si="160"/>
        <v>0</v>
      </c>
      <c r="K161" s="26" t="s">
        <v>53</v>
      </c>
      <c r="Z161" s="25">
        <f t="shared" si="161"/>
        <v>0</v>
      </c>
      <c r="AB161" s="25">
        <f t="shared" si="162"/>
        <v>0</v>
      </c>
      <c r="AC161" s="25">
        <f t="shared" si="163"/>
        <v>0</v>
      </c>
      <c r="AD161" s="25">
        <f t="shared" si="164"/>
        <v>0</v>
      </c>
      <c r="AE161" s="25">
        <f t="shared" si="165"/>
        <v>0</v>
      </c>
      <c r="AF161" s="25">
        <f t="shared" si="166"/>
        <v>0</v>
      </c>
      <c r="AG161" s="25">
        <f t="shared" si="167"/>
        <v>0</v>
      </c>
      <c r="AH161" s="25">
        <f t="shared" si="168"/>
        <v>0</v>
      </c>
      <c r="AI161" s="11" t="s">
        <v>46</v>
      </c>
      <c r="AJ161" s="25">
        <f t="shared" si="169"/>
        <v>0</v>
      </c>
      <c r="AK161" s="25">
        <f t="shared" si="170"/>
        <v>0</v>
      </c>
      <c r="AL161" s="25">
        <f t="shared" si="171"/>
        <v>0</v>
      </c>
      <c r="AN161" s="25">
        <v>21</v>
      </c>
      <c r="AO161" s="25">
        <f t="shared" si="172"/>
        <v>0</v>
      </c>
      <c r="AP161" s="25">
        <f t="shared" si="173"/>
        <v>0</v>
      </c>
      <c r="AQ161" s="27" t="s">
        <v>68</v>
      </c>
      <c r="AV161" s="25">
        <f t="shared" si="174"/>
        <v>0</v>
      </c>
      <c r="AW161" s="25">
        <f t="shared" si="175"/>
        <v>0</v>
      </c>
      <c r="AX161" s="25">
        <f t="shared" si="176"/>
        <v>0</v>
      </c>
      <c r="AY161" s="27" t="s">
        <v>484</v>
      </c>
      <c r="AZ161" s="27" t="s">
        <v>305</v>
      </c>
      <c r="BA161" s="11" t="s">
        <v>56</v>
      </c>
      <c r="BC161" s="25">
        <f t="shared" si="177"/>
        <v>0</v>
      </c>
      <c r="BD161" s="25">
        <f t="shared" si="178"/>
        <v>0</v>
      </c>
      <c r="BE161" s="25">
        <v>0</v>
      </c>
      <c r="BF161" s="25">
        <f>161</f>
        <v>161</v>
      </c>
      <c r="BH161" s="25">
        <f t="shared" si="179"/>
        <v>0</v>
      </c>
      <c r="BI161" s="25">
        <f t="shared" si="180"/>
        <v>0</v>
      </c>
      <c r="BJ161" s="25">
        <f t="shared" si="181"/>
        <v>0</v>
      </c>
      <c r="BK161" s="27" t="s">
        <v>57</v>
      </c>
      <c r="BL161" s="25"/>
      <c r="BW161" s="25">
        <v>21</v>
      </c>
      <c r="BX161" s="5" t="s">
        <v>499</v>
      </c>
    </row>
    <row r="162" spans="1:76" x14ac:dyDescent="0.25">
      <c r="A162" s="2" t="s">
        <v>500</v>
      </c>
      <c r="B162" s="3" t="s">
        <v>501</v>
      </c>
      <c r="C162" s="93" t="s">
        <v>502</v>
      </c>
      <c r="D162" s="94"/>
      <c r="E162" s="3" t="s">
        <v>71</v>
      </c>
      <c r="F162" s="25">
        <v>540.28</v>
      </c>
      <c r="G162" s="25">
        <v>0</v>
      </c>
      <c r="H162" s="25">
        <f t="shared" si="158"/>
        <v>0</v>
      </c>
      <c r="I162" s="25">
        <f t="shared" si="159"/>
        <v>0</v>
      </c>
      <c r="J162" s="25">
        <f t="shared" si="160"/>
        <v>0</v>
      </c>
      <c r="K162" s="26" t="s">
        <v>53</v>
      </c>
      <c r="Z162" s="25">
        <f t="shared" si="161"/>
        <v>0</v>
      </c>
      <c r="AB162" s="25">
        <f t="shared" si="162"/>
        <v>0</v>
      </c>
      <c r="AC162" s="25">
        <f t="shared" si="163"/>
        <v>0</v>
      </c>
      <c r="AD162" s="25">
        <f t="shared" si="164"/>
        <v>0</v>
      </c>
      <c r="AE162" s="25">
        <f t="shared" si="165"/>
        <v>0</v>
      </c>
      <c r="AF162" s="25">
        <f t="shared" si="166"/>
        <v>0</v>
      </c>
      <c r="AG162" s="25">
        <f t="shared" si="167"/>
        <v>0</v>
      </c>
      <c r="AH162" s="25">
        <f t="shared" si="168"/>
        <v>0</v>
      </c>
      <c r="AI162" s="11" t="s">
        <v>46</v>
      </c>
      <c r="AJ162" s="25">
        <f t="shared" si="169"/>
        <v>0</v>
      </c>
      <c r="AK162" s="25">
        <f t="shared" si="170"/>
        <v>0</v>
      </c>
      <c r="AL162" s="25">
        <f t="shared" si="171"/>
        <v>0</v>
      </c>
      <c r="AN162" s="25">
        <v>21</v>
      </c>
      <c r="AO162" s="25">
        <f t="shared" si="172"/>
        <v>0</v>
      </c>
      <c r="AP162" s="25">
        <f t="shared" si="173"/>
        <v>0</v>
      </c>
      <c r="AQ162" s="27" t="s">
        <v>68</v>
      </c>
      <c r="AV162" s="25">
        <f t="shared" si="174"/>
        <v>0</v>
      </c>
      <c r="AW162" s="25">
        <f t="shared" si="175"/>
        <v>0</v>
      </c>
      <c r="AX162" s="25">
        <f t="shared" si="176"/>
        <v>0</v>
      </c>
      <c r="AY162" s="27" t="s">
        <v>484</v>
      </c>
      <c r="AZ162" s="27" t="s">
        <v>305</v>
      </c>
      <c r="BA162" s="11" t="s">
        <v>56</v>
      </c>
      <c r="BC162" s="25">
        <f t="shared" si="177"/>
        <v>0</v>
      </c>
      <c r="BD162" s="25">
        <f t="shared" si="178"/>
        <v>0</v>
      </c>
      <c r="BE162" s="25">
        <v>0</v>
      </c>
      <c r="BF162" s="25">
        <f>162</f>
        <v>162</v>
      </c>
      <c r="BH162" s="25">
        <f t="shared" si="179"/>
        <v>0</v>
      </c>
      <c r="BI162" s="25">
        <f t="shared" si="180"/>
        <v>0</v>
      </c>
      <c r="BJ162" s="25">
        <f t="shared" si="181"/>
        <v>0</v>
      </c>
      <c r="BK162" s="27" t="s">
        <v>57</v>
      </c>
      <c r="BL162" s="25"/>
      <c r="BW162" s="25">
        <v>21</v>
      </c>
      <c r="BX162" s="5" t="s">
        <v>502</v>
      </c>
    </row>
    <row r="163" spans="1:76" x14ac:dyDescent="0.25">
      <c r="A163" s="2" t="s">
        <v>503</v>
      </c>
      <c r="B163" s="3" t="s">
        <v>504</v>
      </c>
      <c r="C163" s="93" t="s">
        <v>505</v>
      </c>
      <c r="D163" s="94"/>
      <c r="E163" s="3" t="s">
        <v>71</v>
      </c>
      <c r="F163" s="25">
        <v>108.056</v>
      </c>
      <c r="G163" s="25">
        <v>0</v>
      </c>
      <c r="H163" s="25">
        <f t="shared" si="158"/>
        <v>0</v>
      </c>
      <c r="I163" s="25">
        <f t="shared" si="159"/>
        <v>0</v>
      </c>
      <c r="J163" s="25">
        <f t="shared" si="160"/>
        <v>0</v>
      </c>
      <c r="K163" s="26" t="s">
        <v>53</v>
      </c>
      <c r="Z163" s="25">
        <f t="shared" si="161"/>
        <v>0</v>
      </c>
      <c r="AB163" s="25">
        <f t="shared" si="162"/>
        <v>0</v>
      </c>
      <c r="AC163" s="25">
        <f t="shared" si="163"/>
        <v>0</v>
      </c>
      <c r="AD163" s="25">
        <f t="shared" si="164"/>
        <v>0</v>
      </c>
      <c r="AE163" s="25">
        <f t="shared" si="165"/>
        <v>0</v>
      </c>
      <c r="AF163" s="25">
        <f t="shared" si="166"/>
        <v>0</v>
      </c>
      <c r="AG163" s="25">
        <f t="shared" si="167"/>
        <v>0</v>
      </c>
      <c r="AH163" s="25">
        <f t="shared" si="168"/>
        <v>0</v>
      </c>
      <c r="AI163" s="11" t="s">
        <v>46</v>
      </c>
      <c r="AJ163" s="25">
        <f t="shared" si="169"/>
        <v>0</v>
      </c>
      <c r="AK163" s="25">
        <f t="shared" si="170"/>
        <v>0</v>
      </c>
      <c r="AL163" s="25">
        <f t="shared" si="171"/>
        <v>0</v>
      </c>
      <c r="AN163" s="25">
        <v>21</v>
      </c>
      <c r="AO163" s="25">
        <f t="shared" si="172"/>
        <v>0</v>
      </c>
      <c r="AP163" s="25">
        <f t="shared" si="173"/>
        <v>0</v>
      </c>
      <c r="AQ163" s="27" t="s">
        <v>68</v>
      </c>
      <c r="AV163" s="25">
        <f t="shared" si="174"/>
        <v>0</v>
      </c>
      <c r="AW163" s="25">
        <f t="shared" si="175"/>
        <v>0</v>
      </c>
      <c r="AX163" s="25">
        <f t="shared" si="176"/>
        <v>0</v>
      </c>
      <c r="AY163" s="27" t="s">
        <v>484</v>
      </c>
      <c r="AZ163" s="27" t="s">
        <v>305</v>
      </c>
      <c r="BA163" s="11" t="s">
        <v>56</v>
      </c>
      <c r="BC163" s="25">
        <f t="shared" si="177"/>
        <v>0</v>
      </c>
      <c r="BD163" s="25">
        <f t="shared" si="178"/>
        <v>0</v>
      </c>
      <c r="BE163" s="25">
        <v>0</v>
      </c>
      <c r="BF163" s="25">
        <f>163</f>
        <v>163</v>
      </c>
      <c r="BH163" s="25">
        <f t="shared" si="179"/>
        <v>0</v>
      </c>
      <c r="BI163" s="25">
        <f t="shared" si="180"/>
        <v>0</v>
      </c>
      <c r="BJ163" s="25">
        <f t="shared" si="181"/>
        <v>0</v>
      </c>
      <c r="BK163" s="27" t="s">
        <v>57</v>
      </c>
      <c r="BL163" s="25"/>
      <c r="BW163" s="25">
        <v>21</v>
      </c>
      <c r="BX163" s="5" t="s">
        <v>505</v>
      </c>
    </row>
    <row r="164" spans="1:76" x14ac:dyDescent="0.25">
      <c r="A164" s="2" t="s">
        <v>506</v>
      </c>
      <c r="B164" s="3" t="s">
        <v>507</v>
      </c>
      <c r="C164" s="93" t="s">
        <v>508</v>
      </c>
      <c r="D164" s="94"/>
      <c r="E164" s="3" t="s">
        <v>71</v>
      </c>
      <c r="F164" s="25">
        <v>16.442</v>
      </c>
      <c r="G164" s="25">
        <v>0</v>
      </c>
      <c r="H164" s="25">
        <f t="shared" si="158"/>
        <v>0</v>
      </c>
      <c r="I164" s="25">
        <f t="shared" si="159"/>
        <v>0</v>
      </c>
      <c r="J164" s="25">
        <f t="shared" si="160"/>
        <v>0</v>
      </c>
      <c r="K164" s="26" t="s">
        <v>53</v>
      </c>
      <c r="Z164" s="25">
        <f t="shared" si="161"/>
        <v>0</v>
      </c>
      <c r="AB164" s="25">
        <f t="shared" si="162"/>
        <v>0</v>
      </c>
      <c r="AC164" s="25">
        <f t="shared" si="163"/>
        <v>0</v>
      </c>
      <c r="AD164" s="25">
        <f t="shared" si="164"/>
        <v>0</v>
      </c>
      <c r="AE164" s="25">
        <f t="shared" si="165"/>
        <v>0</v>
      </c>
      <c r="AF164" s="25">
        <f t="shared" si="166"/>
        <v>0</v>
      </c>
      <c r="AG164" s="25">
        <f t="shared" si="167"/>
        <v>0</v>
      </c>
      <c r="AH164" s="25">
        <f t="shared" si="168"/>
        <v>0</v>
      </c>
      <c r="AI164" s="11" t="s">
        <v>46</v>
      </c>
      <c r="AJ164" s="25">
        <f t="shared" si="169"/>
        <v>0</v>
      </c>
      <c r="AK164" s="25">
        <f t="shared" si="170"/>
        <v>0</v>
      </c>
      <c r="AL164" s="25">
        <f t="shared" si="171"/>
        <v>0</v>
      </c>
      <c r="AN164" s="25">
        <v>21</v>
      </c>
      <c r="AO164" s="25">
        <f t="shared" si="172"/>
        <v>0</v>
      </c>
      <c r="AP164" s="25">
        <f t="shared" si="173"/>
        <v>0</v>
      </c>
      <c r="AQ164" s="27" t="s">
        <v>68</v>
      </c>
      <c r="AV164" s="25">
        <f t="shared" si="174"/>
        <v>0</v>
      </c>
      <c r="AW164" s="25">
        <f t="shared" si="175"/>
        <v>0</v>
      </c>
      <c r="AX164" s="25">
        <f t="shared" si="176"/>
        <v>0</v>
      </c>
      <c r="AY164" s="27" t="s">
        <v>484</v>
      </c>
      <c r="AZ164" s="27" t="s">
        <v>305</v>
      </c>
      <c r="BA164" s="11" t="s">
        <v>56</v>
      </c>
      <c r="BC164" s="25">
        <f t="shared" si="177"/>
        <v>0</v>
      </c>
      <c r="BD164" s="25">
        <f t="shared" si="178"/>
        <v>0</v>
      </c>
      <c r="BE164" s="25">
        <v>0</v>
      </c>
      <c r="BF164" s="25">
        <f>164</f>
        <v>164</v>
      </c>
      <c r="BH164" s="25">
        <f t="shared" si="179"/>
        <v>0</v>
      </c>
      <c r="BI164" s="25">
        <f t="shared" si="180"/>
        <v>0</v>
      </c>
      <c r="BJ164" s="25">
        <f t="shared" si="181"/>
        <v>0</v>
      </c>
      <c r="BK164" s="27" t="s">
        <v>57</v>
      </c>
      <c r="BL164" s="25"/>
      <c r="BW164" s="25">
        <v>21</v>
      </c>
      <c r="BX164" s="5" t="s">
        <v>508</v>
      </c>
    </row>
    <row r="165" spans="1:76" ht="25.5" x14ac:dyDescent="0.25">
      <c r="A165" s="2" t="s">
        <v>509</v>
      </c>
      <c r="B165" s="3" t="s">
        <v>510</v>
      </c>
      <c r="C165" s="93" t="s">
        <v>511</v>
      </c>
      <c r="D165" s="94"/>
      <c r="E165" s="3" t="s">
        <v>71</v>
      </c>
      <c r="F165" s="25">
        <v>38.859000000000002</v>
      </c>
      <c r="G165" s="25">
        <v>0</v>
      </c>
      <c r="H165" s="25">
        <f t="shared" si="158"/>
        <v>0</v>
      </c>
      <c r="I165" s="25">
        <f t="shared" si="159"/>
        <v>0</v>
      </c>
      <c r="J165" s="25">
        <f t="shared" si="160"/>
        <v>0</v>
      </c>
      <c r="K165" s="26" t="s">
        <v>53</v>
      </c>
      <c r="Z165" s="25">
        <f t="shared" si="161"/>
        <v>0</v>
      </c>
      <c r="AB165" s="25">
        <f t="shared" si="162"/>
        <v>0</v>
      </c>
      <c r="AC165" s="25">
        <f t="shared" si="163"/>
        <v>0</v>
      </c>
      <c r="AD165" s="25">
        <f t="shared" si="164"/>
        <v>0</v>
      </c>
      <c r="AE165" s="25">
        <f t="shared" si="165"/>
        <v>0</v>
      </c>
      <c r="AF165" s="25">
        <f t="shared" si="166"/>
        <v>0</v>
      </c>
      <c r="AG165" s="25">
        <f t="shared" si="167"/>
        <v>0</v>
      </c>
      <c r="AH165" s="25">
        <f t="shared" si="168"/>
        <v>0</v>
      </c>
      <c r="AI165" s="11" t="s">
        <v>46</v>
      </c>
      <c r="AJ165" s="25">
        <f t="shared" si="169"/>
        <v>0</v>
      </c>
      <c r="AK165" s="25">
        <f t="shared" si="170"/>
        <v>0</v>
      </c>
      <c r="AL165" s="25">
        <f t="shared" si="171"/>
        <v>0</v>
      </c>
      <c r="AN165" s="25">
        <v>21</v>
      </c>
      <c r="AO165" s="25">
        <f t="shared" si="172"/>
        <v>0</v>
      </c>
      <c r="AP165" s="25">
        <f t="shared" si="173"/>
        <v>0</v>
      </c>
      <c r="AQ165" s="27" t="s">
        <v>68</v>
      </c>
      <c r="AV165" s="25">
        <f t="shared" si="174"/>
        <v>0</v>
      </c>
      <c r="AW165" s="25">
        <f t="shared" si="175"/>
        <v>0</v>
      </c>
      <c r="AX165" s="25">
        <f t="shared" si="176"/>
        <v>0</v>
      </c>
      <c r="AY165" s="27" t="s">
        <v>484</v>
      </c>
      <c r="AZ165" s="27" t="s">
        <v>305</v>
      </c>
      <c r="BA165" s="11" t="s">
        <v>56</v>
      </c>
      <c r="BC165" s="25">
        <f t="shared" si="177"/>
        <v>0</v>
      </c>
      <c r="BD165" s="25">
        <f t="shared" si="178"/>
        <v>0</v>
      </c>
      <c r="BE165" s="25">
        <v>0</v>
      </c>
      <c r="BF165" s="25">
        <f>165</f>
        <v>165</v>
      </c>
      <c r="BH165" s="25">
        <f t="shared" si="179"/>
        <v>0</v>
      </c>
      <c r="BI165" s="25">
        <f t="shared" si="180"/>
        <v>0</v>
      </c>
      <c r="BJ165" s="25">
        <f t="shared" si="181"/>
        <v>0</v>
      </c>
      <c r="BK165" s="27" t="s">
        <v>57</v>
      </c>
      <c r="BL165" s="25"/>
      <c r="BW165" s="25">
        <v>21</v>
      </c>
      <c r="BX165" s="5" t="s">
        <v>511</v>
      </c>
    </row>
    <row r="166" spans="1:76" x14ac:dyDescent="0.25">
      <c r="A166" s="2" t="s">
        <v>512</v>
      </c>
      <c r="B166" s="3" t="s">
        <v>513</v>
      </c>
      <c r="C166" s="93" t="s">
        <v>514</v>
      </c>
      <c r="D166" s="94"/>
      <c r="E166" s="3" t="s">
        <v>71</v>
      </c>
      <c r="F166" s="25">
        <v>14.749000000000001</v>
      </c>
      <c r="G166" s="25">
        <v>0</v>
      </c>
      <c r="H166" s="25">
        <f t="shared" si="158"/>
        <v>0</v>
      </c>
      <c r="I166" s="25">
        <f t="shared" si="159"/>
        <v>0</v>
      </c>
      <c r="J166" s="25">
        <f t="shared" si="160"/>
        <v>0</v>
      </c>
      <c r="K166" s="26" t="s">
        <v>53</v>
      </c>
      <c r="Z166" s="25">
        <f t="shared" si="161"/>
        <v>0</v>
      </c>
      <c r="AB166" s="25">
        <f t="shared" si="162"/>
        <v>0</v>
      </c>
      <c r="AC166" s="25">
        <f t="shared" si="163"/>
        <v>0</v>
      </c>
      <c r="AD166" s="25">
        <f t="shared" si="164"/>
        <v>0</v>
      </c>
      <c r="AE166" s="25">
        <f t="shared" si="165"/>
        <v>0</v>
      </c>
      <c r="AF166" s="25">
        <f t="shared" si="166"/>
        <v>0</v>
      </c>
      <c r="AG166" s="25">
        <f t="shared" si="167"/>
        <v>0</v>
      </c>
      <c r="AH166" s="25">
        <f t="shared" si="168"/>
        <v>0</v>
      </c>
      <c r="AI166" s="11" t="s">
        <v>46</v>
      </c>
      <c r="AJ166" s="25">
        <f t="shared" si="169"/>
        <v>0</v>
      </c>
      <c r="AK166" s="25">
        <f t="shared" si="170"/>
        <v>0</v>
      </c>
      <c r="AL166" s="25">
        <f t="shared" si="171"/>
        <v>0</v>
      </c>
      <c r="AN166" s="25">
        <v>21</v>
      </c>
      <c r="AO166" s="25">
        <f t="shared" si="172"/>
        <v>0</v>
      </c>
      <c r="AP166" s="25">
        <f t="shared" si="173"/>
        <v>0</v>
      </c>
      <c r="AQ166" s="27" t="s">
        <v>68</v>
      </c>
      <c r="AV166" s="25">
        <f t="shared" si="174"/>
        <v>0</v>
      </c>
      <c r="AW166" s="25">
        <f t="shared" si="175"/>
        <v>0</v>
      </c>
      <c r="AX166" s="25">
        <f t="shared" si="176"/>
        <v>0</v>
      </c>
      <c r="AY166" s="27" t="s">
        <v>484</v>
      </c>
      <c r="AZ166" s="27" t="s">
        <v>305</v>
      </c>
      <c r="BA166" s="11" t="s">
        <v>56</v>
      </c>
      <c r="BC166" s="25">
        <f t="shared" si="177"/>
        <v>0</v>
      </c>
      <c r="BD166" s="25">
        <f t="shared" si="178"/>
        <v>0</v>
      </c>
      <c r="BE166" s="25">
        <v>0</v>
      </c>
      <c r="BF166" s="25">
        <f>166</f>
        <v>166</v>
      </c>
      <c r="BH166" s="25">
        <f t="shared" si="179"/>
        <v>0</v>
      </c>
      <c r="BI166" s="25">
        <f t="shared" si="180"/>
        <v>0</v>
      </c>
      <c r="BJ166" s="25">
        <f t="shared" si="181"/>
        <v>0</v>
      </c>
      <c r="BK166" s="27" t="s">
        <v>57</v>
      </c>
      <c r="BL166" s="25"/>
      <c r="BW166" s="25">
        <v>21</v>
      </c>
      <c r="BX166" s="5" t="s">
        <v>514</v>
      </c>
    </row>
    <row r="167" spans="1:76" x14ac:dyDescent="0.25">
      <c r="A167" s="2" t="s">
        <v>515</v>
      </c>
      <c r="B167" s="3" t="s">
        <v>516</v>
      </c>
      <c r="C167" s="93" t="s">
        <v>517</v>
      </c>
      <c r="D167" s="94"/>
      <c r="E167" s="3" t="s">
        <v>71</v>
      </c>
      <c r="F167" s="25">
        <v>18.812999999999999</v>
      </c>
      <c r="G167" s="25">
        <v>0</v>
      </c>
      <c r="H167" s="25">
        <f t="shared" si="158"/>
        <v>0</v>
      </c>
      <c r="I167" s="25">
        <f t="shared" si="159"/>
        <v>0</v>
      </c>
      <c r="J167" s="25">
        <f t="shared" si="160"/>
        <v>0</v>
      </c>
      <c r="K167" s="26" t="s">
        <v>53</v>
      </c>
      <c r="Z167" s="25">
        <f t="shared" si="161"/>
        <v>0</v>
      </c>
      <c r="AB167" s="25">
        <f t="shared" si="162"/>
        <v>0</v>
      </c>
      <c r="AC167" s="25">
        <f t="shared" si="163"/>
        <v>0</v>
      </c>
      <c r="AD167" s="25">
        <f t="shared" si="164"/>
        <v>0</v>
      </c>
      <c r="AE167" s="25">
        <f t="shared" si="165"/>
        <v>0</v>
      </c>
      <c r="AF167" s="25">
        <f t="shared" si="166"/>
        <v>0</v>
      </c>
      <c r="AG167" s="25">
        <f t="shared" si="167"/>
        <v>0</v>
      </c>
      <c r="AH167" s="25">
        <f t="shared" si="168"/>
        <v>0</v>
      </c>
      <c r="AI167" s="11" t="s">
        <v>46</v>
      </c>
      <c r="AJ167" s="25">
        <f t="shared" si="169"/>
        <v>0</v>
      </c>
      <c r="AK167" s="25">
        <f t="shared" si="170"/>
        <v>0</v>
      </c>
      <c r="AL167" s="25">
        <f t="shared" si="171"/>
        <v>0</v>
      </c>
      <c r="AN167" s="25">
        <v>21</v>
      </c>
      <c r="AO167" s="25">
        <f t="shared" si="172"/>
        <v>0</v>
      </c>
      <c r="AP167" s="25">
        <f t="shared" si="173"/>
        <v>0</v>
      </c>
      <c r="AQ167" s="27" t="s">
        <v>68</v>
      </c>
      <c r="AV167" s="25">
        <f t="shared" si="174"/>
        <v>0</v>
      </c>
      <c r="AW167" s="25">
        <f t="shared" si="175"/>
        <v>0</v>
      </c>
      <c r="AX167" s="25">
        <f t="shared" si="176"/>
        <v>0</v>
      </c>
      <c r="AY167" s="27" t="s">
        <v>484</v>
      </c>
      <c r="AZ167" s="27" t="s">
        <v>305</v>
      </c>
      <c r="BA167" s="11" t="s">
        <v>56</v>
      </c>
      <c r="BC167" s="25">
        <f t="shared" si="177"/>
        <v>0</v>
      </c>
      <c r="BD167" s="25">
        <f t="shared" si="178"/>
        <v>0</v>
      </c>
      <c r="BE167" s="25">
        <v>0</v>
      </c>
      <c r="BF167" s="25">
        <f>167</f>
        <v>167</v>
      </c>
      <c r="BH167" s="25">
        <f t="shared" si="179"/>
        <v>0</v>
      </c>
      <c r="BI167" s="25">
        <f t="shared" si="180"/>
        <v>0</v>
      </c>
      <c r="BJ167" s="25">
        <f t="shared" si="181"/>
        <v>0</v>
      </c>
      <c r="BK167" s="27" t="s">
        <v>57</v>
      </c>
      <c r="BL167" s="25"/>
      <c r="BW167" s="25">
        <v>21</v>
      </c>
      <c r="BX167" s="5" t="s">
        <v>517</v>
      </c>
    </row>
    <row r="168" spans="1:76" x14ac:dyDescent="0.25">
      <c r="A168" s="2" t="s">
        <v>518</v>
      </c>
      <c r="B168" s="3" t="s">
        <v>519</v>
      </c>
      <c r="C168" s="93" t="s">
        <v>520</v>
      </c>
      <c r="D168" s="94"/>
      <c r="E168" s="3" t="s">
        <v>71</v>
      </c>
      <c r="F168" s="25">
        <v>0.98299999999999998</v>
      </c>
      <c r="G168" s="25">
        <v>0</v>
      </c>
      <c r="H168" s="25">
        <f t="shared" si="158"/>
        <v>0</v>
      </c>
      <c r="I168" s="25">
        <f t="shared" si="159"/>
        <v>0</v>
      </c>
      <c r="J168" s="25">
        <f t="shared" si="160"/>
        <v>0</v>
      </c>
      <c r="K168" s="26" t="s">
        <v>53</v>
      </c>
      <c r="Z168" s="25">
        <f t="shared" si="161"/>
        <v>0</v>
      </c>
      <c r="AB168" s="25">
        <f t="shared" si="162"/>
        <v>0</v>
      </c>
      <c r="AC168" s="25">
        <f t="shared" si="163"/>
        <v>0</v>
      </c>
      <c r="AD168" s="25">
        <f t="shared" si="164"/>
        <v>0</v>
      </c>
      <c r="AE168" s="25">
        <f t="shared" si="165"/>
        <v>0</v>
      </c>
      <c r="AF168" s="25">
        <f t="shared" si="166"/>
        <v>0</v>
      </c>
      <c r="AG168" s="25">
        <f t="shared" si="167"/>
        <v>0</v>
      </c>
      <c r="AH168" s="25">
        <f t="shared" si="168"/>
        <v>0</v>
      </c>
      <c r="AI168" s="11" t="s">
        <v>46</v>
      </c>
      <c r="AJ168" s="25">
        <f t="shared" si="169"/>
        <v>0</v>
      </c>
      <c r="AK168" s="25">
        <f t="shared" si="170"/>
        <v>0</v>
      </c>
      <c r="AL168" s="25">
        <f t="shared" si="171"/>
        <v>0</v>
      </c>
      <c r="AN168" s="25">
        <v>21</v>
      </c>
      <c r="AO168" s="25">
        <f t="shared" si="172"/>
        <v>0</v>
      </c>
      <c r="AP168" s="25">
        <f t="shared" si="173"/>
        <v>0</v>
      </c>
      <c r="AQ168" s="27" t="s">
        <v>68</v>
      </c>
      <c r="AV168" s="25">
        <f t="shared" si="174"/>
        <v>0</v>
      </c>
      <c r="AW168" s="25">
        <f t="shared" si="175"/>
        <v>0</v>
      </c>
      <c r="AX168" s="25">
        <f t="shared" si="176"/>
        <v>0</v>
      </c>
      <c r="AY168" s="27" t="s">
        <v>484</v>
      </c>
      <c r="AZ168" s="27" t="s">
        <v>305</v>
      </c>
      <c r="BA168" s="11" t="s">
        <v>56</v>
      </c>
      <c r="BC168" s="25">
        <f t="shared" si="177"/>
        <v>0</v>
      </c>
      <c r="BD168" s="25">
        <f t="shared" si="178"/>
        <v>0</v>
      </c>
      <c r="BE168" s="25">
        <v>0</v>
      </c>
      <c r="BF168" s="25">
        <f>168</f>
        <v>168</v>
      </c>
      <c r="BH168" s="25">
        <f t="shared" si="179"/>
        <v>0</v>
      </c>
      <c r="BI168" s="25">
        <f t="shared" si="180"/>
        <v>0</v>
      </c>
      <c r="BJ168" s="25">
        <f t="shared" si="181"/>
        <v>0</v>
      </c>
      <c r="BK168" s="27" t="s">
        <v>57</v>
      </c>
      <c r="BL168" s="25"/>
      <c r="BW168" s="25">
        <v>21</v>
      </c>
      <c r="BX168" s="5" t="s">
        <v>520</v>
      </c>
    </row>
    <row r="169" spans="1:76" x14ac:dyDescent="0.25">
      <c r="A169" s="2" t="s">
        <v>521</v>
      </c>
      <c r="B169" s="3" t="s">
        <v>522</v>
      </c>
      <c r="C169" s="93" t="s">
        <v>523</v>
      </c>
      <c r="D169" s="94"/>
      <c r="E169" s="3" t="s">
        <v>71</v>
      </c>
      <c r="F169" s="25">
        <v>4.5590000000000002</v>
      </c>
      <c r="G169" s="25">
        <v>0</v>
      </c>
      <c r="H169" s="25">
        <f t="shared" si="158"/>
        <v>0</v>
      </c>
      <c r="I169" s="25">
        <f t="shared" si="159"/>
        <v>0</v>
      </c>
      <c r="J169" s="25">
        <f t="shared" si="160"/>
        <v>0</v>
      </c>
      <c r="K169" s="26" t="s">
        <v>53</v>
      </c>
      <c r="Z169" s="25">
        <f t="shared" si="161"/>
        <v>0</v>
      </c>
      <c r="AB169" s="25">
        <f t="shared" si="162"/>
        <v>0</v>
      </c>
      <c r="AC169" s="25">
        <f t="shared" si="163"/>
        <v>0</v>
      </c>
      <c r="AD169" s="25">
        <f t="shared" si="164"/>
        <v>0</v>
      </c>
      <c r="AE169" s="25">
        <f t="shared" si="165"/>
        <v>0</v>
      </c>
      <c r="AF169" s="25">
        <f t="shared" si="166"/>
        <v>0</v>
      </c>
      <c r="AG169" s="25">
        <f t="shared" si="167"/>
        <v>0</v>
      </c>
      <c r="AH169" s="25">
        <f t="shared" si="168"/>
        <v>0</v>
      </c>
      <c r="AI169" s="11" t="s">
        <v>46</v>
      </c>
      <c r="AJ169" s="25">
        <f t="shared" si="169"/>
        <v>0</v>
      </c>
      <c r="AK169" s="25">
        <f t="shared" si="170"/>
        <v>0</v>
      </c>
      <c r="AL169" s="25">
        <f t="shared" si="171"/>
        <v>0</v>
      </c>
      <c r="AN169" s="25">
        <v>21</v>
      </c>
      <c r="AO169" s="25">
        <f t="shared" si="172"/>
        <v>0</v>
      </c>
      <c r="AP169" s="25">
        <f t="shared" si="173"/>
        <v>0</v>
      </c>
      <c r="AQ169" s="27" t="s">
        <v>68</v>
      </c>
      <c r="AV169" s="25">
        <f t="shared" si="174"/>
        <v>0</v>
      </c>
      <c r="AW169" s="25">
        <f t="shared" si="175"/>
        <v>0</v>
      </c>
      <c r="AX169" s="25">
        <f t="shared" si="176"/>
        <v>0</v>
      </c>
      <c r="AY169" s="27" t="s">
        <v>484</v>
      </c>
      <c r="AZ169" s="27" t="s">
        <v>305</v>
      </c>
      <c r="BA169" s="11" t="s">
        <v>56</v>
      </c>
      <c r="BC169" s="25">
        <f t="shared" si="177"/>
        <v>0</v>
      </c>
      <c r="BD169" s="25">
        <f t="shared" si="178"/>
        <v>0</v>
      </c>
      <c r="BE169" s="25">
        <v>0</v>
      </c>
      <c r="BF169" s="25">
        <f>169</f>
        <v>169</v>
      </c>
      <c r="BH169" s="25">
        <f t="shared" si="179"/>
        <v>0</v>
      </c>
      <c r="BI169" s="25">
        <f t="shared" si="180"/>
        <v>0</v>
      </c>
      <c r="BJ169" s="25">
        <f t="shared" si="181"/>
        <v>0</v>
      </c>
      <c r="BK169" s="27" t="s">
        <v>57</v>
      </c>
      <c r="BL169" s="25"/>
      <c r="BW169" s="25">
        <v>21</v>
      </c>
      <c r="BX169" s="5" t="s">
        <v>523</v>
      </c>
    </row>
    <row r="170" spans="1:76" x14ac:dyDescent="0.25">
      <c r="A170" s="2" t="s">
        <v>524</v>
      </c>
      <c r="B170" s="3" t="s">
        <v>525</v>
      </c>
      <c r="C170" s="93" t="s">
        <v>526</v>
      </c>
      <c r="D170" s="94"/>
      <c r="E170" s="3" t="s">
        <v>71</v>
      </c>
      <c r="F170" s="25">
        <v>13.023999999999999</v>
      </c>
      <c r="G170" s="25">
        <v>0</v>
      </c>
      <c r="H170" s="25">
        <f t="shared" si="158"/>
        <v>0</v>
      </c>
      <c r="I170" s="25">
        <f t="shared" si="159"/>
        <v>0</v>
      </c>
      <c r="J170" s="25">
        <f t="shared" si="160"/>
        <v>0</v>
      </c>
      <c r="K170" s="26" t="s">
        <v>53</v>
      </c>
      <c r="Z170" s="25">
        <f t="shared" si="161"/>
        <v>0</v>
      </c>
      <c r="AB170" s="25">
        <f t="shared" si="162"/>
        <v>0</v>
      </c>
      <c r="AC170" s="25">
        <f t="shared" si="163"/>
        <v>0</v>
      </c>
      <c r="AD170" s="25">
        <f t="shared" si="164"/>
        <v>0</v>
      </c>
      <c r="AE170" s="25">
        <f t="shared" si="165"/>
        <v>0</v>
      </c>
      <c r="AF170" s="25">
        <f t="shared" si="166"/>
        <v>0</v>
      </c>
      <c r="AG170" s="25">
        <f t="shared" si="167"/>
        <v>0</v>
      </c>
      <c r="AH170" s="25">
        <f t="shared" si="168"/>
        <v>0</v>
      </c>
      <c r="AI170" s="11" t="s">
        <v>46</v>
      </c>
      <c r="AJ170" s="25">
        <f t="shared" si="169"/>
        <v>0</v>
      </c>
      <c r="AK170" s="25">
        <f t="shared" si="170"/>
        <v>0</v>
      </c>
      <c r="AL170" s="25">
        <f t="shared" si="171"/>
        <v>0</v>
      </c>
      <c r="AN170" s="25">
        <v>21</v>
      </c>
      <c r="AO170" s="25">
        <f t="shared" si="172"/>
        <v>0</v>
      </c>
      <c r="AP170" s="25">
        <f t="shared" si="173"/>
        <v>0</v>
      </c>
      <c r="AQ170" s="27" t="s">
        <v>68</v>
      </c>
      <c r="AV170" s="25">
        <f t="shared" si="174"/>
        <v>0</v>
      </c>
      <c r="AW170" s="25">
        <f t="shared" si="175"/>
        <v>0</v>
      </c>
      <c r="AX170" s="25">
        <f t="shared" si="176"/>
        <v>0</v>
      </c>
      <c r="AY170" s="27" t="s">
        <v>484</v>
      </c>
      <c r="AZ170" s="27" t="s">
        <v>305</v>
      </c>
      <c r="BA170" s="11" t="s">
        <v>56</v>
      </c>
      <c r="BC170" s="25">
        <f t="shared" si="177"/>
        <v>0</v>
      </c>
      <c r="BD170" s="25">
        <f t="shared" si="178"/>
        <v>0</v>
      </c>
      <c r="BE170" s="25">
        <v>0</v>
      </c>
      <c r="BF170" s="25">
        <f>170</f>
        <v>170</v>
      </c>
      <c r="BH170" s="25">
        <f t="shared" si="179"/>
        <v>0</v>
      </c>
      <c r="BI170" s="25">
        <f t="shared" si="180"/>
        <v>0</v>
      </c>
      <c r="BJ170" s="25">
        <f t="shared" si="181"/>
        <v>0</v>
      </c>
      <c r="BK170" s="27" t="s">
        <v>57</v>
      </c>
      <c r="BL170" s="25"/>
      <c r="BW170" s="25">
        <v>21</v>
      </c>
      <c r="BX170" s="5" t="s">
        <v>526</v>
      </c>
    </row>
    <row r="171" spans="1:76" x14ac:dyDescent="0.25">
      <c r="A171" s="2" t="s">
        <v>527</v>
      </c>
      <c r="B171" s="3" t="s">
        <v>528</v>
      </c>
      <c r="C171" s="93" t="s">
        <v>529</v>
      </c>
      <c r="D171" s="94"/>
      <c r="E171" s="3" t="s">
        <v>71</v>
      </c>
      <c r="F171" s="25">
        <v>0.16900000000000001</v>
      </c>
      <c r="G171" s="25">
        <v>0</v>
      </c>
      <c r="H171" s="25">
        <f t="shared" si="158"/>
        <v>0</v>
      </c>
      <c r="I171" s="25">
        <f t="shared" si="159"/>
        <v>0</v>
      </c>
      <c r="J171" s="25">
        <f t="shared" si="160"/>
        <v>0</v>
      </c>
      <c r="K171" s="26" t="s">
        <v>53</v>
      </c>
      <c r="Z171" s="25">
        <f t="shared" si="161"/>
        <v>0</v>
      </c>
      <c r="AB171" s="25">
        <f t="shared" si="162"/>
        <v>0</v>
      </c>
      <c r="AC171" s="25">
        <f t="shared" si="163"/>
        <v>0</v>
      </c>
      <c r="AD171" s="25">
        <f t="shared" si="164"/>
        <v>0</v>
      </c>
      <c r="AE171" s="25">
        <f t="shared" si="165"/>
        <v>0</v>
      </c>
      <c r="AF171" s="25">
        <f t="shared" si="166"/>
        <v>0</v>
      </c>
      <c r="AG171" s="25">
        <f t="shared" si="167"/>
        <v>0</v>
      </c>
      <c r="AH171" s="25">
        <f t="shared" si="168"/>
        <v>0</v>
      </c>
      <c r="AI171" s="11" t="s">
        <v>46</v>
      </c>
      <c r="AJ171" s="25">
        <f t="shared" si="169"/>
        <v>0</v>
      </c>
      <c r="AK171" s="25">
        <f t="shared" si="170"/>
        <v>0</v>
      </c>
      <c r="AL171" s="25">
        <f t="shared" si="171"/>
        <v>0</v>
      </c>
      <c r="AN171" s="25">
        <v>21</v>
      </c>
      <c r="AO171" s="25">
        <f t="shared" si="172"/>
        <v>0</v>
      </c>
      <c r="AP171" s="25">
        <f t="shared" si="173"/>
        <v>0</v>
      </c>
      <c r="AQ171" s="27" t="s">
        <v>68</v>
      </c>
      <c r="AV171" s="25">
        <f t="shared" si="174"/>
        <v>0</v>
      </c>
      <c r="AW171" s="25">
        <f t="shared" si="175"/>
        <v>0</v>
      </c>
      <c r="AX171" s="25">
        <f t="shared" si="176"/>
        <v>0</v>
      </c>
      <c r="AY171" s="27" t="s">
        <v>484</v>
      </c>
      <c r="AZ171" s="27" t="s">
        <v>305</v>
      </c>
      <c r="BA171" s="11" t="s">
        <v>56</v>
      </c>
      <c r="BC171" s="25">
        <f t="shared" si="177"/>
        <v>0</v>
      </c>
      <c r="BD171" s="25">
        <f t="shared" si="178"/>
        <v>0</v>
      </c>
      <c r="BE171" s="25">
        <v>0</v>
      </c>
      <c r="BF171" s="25">
        <f>171</f>
        <v>171</v>
      </c>
      <c r="BH171" s="25">
        <f t="shared" si="179"/>
        <v>0</v>
      </c>
      <c r="BI171" s="25">
        <f t="shared" si="180"/>
        <v>0</v>
      </c>
      <c r="BJ171" s="25">
        <f t="shared" si="181"/>
        <v>0</v>
      </c>
      <c r="BK171" s="27" t="s">
        <v>57</v>
      </c>
      <c r="BL171" s="25"/>
      <c r="BW171" s="25">
        <v>21</v>
      </c>
      <c r="BX171" s="5" t="s">
        <v>529</v>
      </c>
    </row>
    <row r="172" spans="1:76" x14ac:dyDescent="0.25">
      <c r="A172" s="2" t="s">
        <v>530</v>
      </c>
      <c r="B172" s="3" t="s">
        <v>531</v>
      </c>
      <c r="C172" s="93" t="s">
        <v>532</v>
      </c>
      <c r="D172" s="94"/>
      <c r="E172" s="3" t="s">
        <v>71</v>
      </c>
      <c r="F172" s="25">
        <v>0.45800000000000002</v>
      </c>
      <c r="G172" s="25">
        <v>0</v>
      </c>
      <c r="H172" s="25">
        <f t="shared" si="158"/>
        <v>0</v>
      </c>
      <c r="I172" s="25">
        <f t="shared" si="159"/>
        <v>0</v>
      </c>
      <c r="J172" s="25">
        <f t="shared" si="160"/>
        <v>0</v>
      </c>
      <c r="K172" s="26" t="s">
        <v>53</v>
      </c>
      <c r="Z172" s="25">
        <f t="shared" si="161"/>
        <v>0</v>
      </c>
      <c r="AB172" s="25">
        <f t="shared" si="162"/>
        <v>0</v>
      </c>
      <c r="AC172" s="25">
        <f t="shared" si="163"/>
        <v>0</v>
      </c>
      <c r="AD172" s="25">
        <f t="shared" si="164"/>
        <v>0</v>
      </c>
      <c r="AE172" s="25">
        <f t="shared" si="165"/>
        <v>0</v>
      </c>
      <c r="AF172" s="25">
        <f t="shared" si="166"/>
        <v>0</v>
      </c>
      <c r="AG172" s="25">
        <f t="shared" si="167"/>
        <v>0</v>
      </c>
      <c r="AH172" s="25">
        <f t="shared" si="168"/>
        <v>0</v>
      </c>
      <c r="AI172" s="11" t="s">
        <v>46</v>
      </c>
      <c r="AJ172" s="25">
        <f t="shared" si="169"/>
        <v>0</v>
      </c>
      <c r="AK172" s="25">
        <f t="shared" si="170"/>
        <v>0</v>
      </c>
      <c r="AL172" s="25">
        <f t="shared" si="171"/>
        <v>0</v>
      </c>
      <c r="AN172" s="25">
        <v>21</v>
      </c>
      <c r="AO172" s="25">
        <f t="shared" si="172"/>
        <v>0</v>
      </c>
      <c r="AP172" s="25">
        <f t="shared" si="173"/>
        <v>0</v>
      </c>
      <c r="AQ172" s="27" t="s">
        <v>68</v>
      </c>
      <c r="AV172" s="25">
        <f t="shared" si="174"/>
        <v>0</v>
      </c>
      <c r="AW172" s="25">
        <f t="shared" si="175"/>
        <v>0</v>
      </c>
      <c r="AX172" s="25">
        <f t="shared" si="176"/>
        <v>0</v>
      </c>
      <c r="AY172" s="27" t="s">
        <v>484</v>
      </c>
      <c r="AZ172" s="27" t="s">
        <v>305</v>
      </c>
      <c r="BA172" s="11" t="s">
        <v>56</v>
      </c>
      <c r="BC172" s="25">
        <f t="shared" si="177"/>
        <v>0</v>
      </c>
      <c r="BD172" s="25">
        <f t="shared" si="178"/>
        <v>0</v>
      </c>
      <c r="BE172" s="25">
        <v>0</v>
      </c>
      <c r="BF172" s="25">
        <f>172</f>
        <v>172</v>
      </c>
      <c r="BH172" s="25">
        <f t="shared" si="179"/>
        <v>0</v>
      </c>
      <c r="BI172" s="25">
        <f t="shared" si="180"/>
        <v>0</v>
      </c>
      <c r="BJ172" s="25">
        <f t="shared" si="181"/>
        <v>0</v>
      </c>
      <c r="BK172" s="27" t="s">
        <v>57</v>
      </c>
      <c r="BL172" s="25"/>
      <c r="BW172" s="25">
        <v>21</v>
      </c>
      <c r="BX172" s="5" t="s">
        <v>532</v>
      </c>
    </row>
    <row r="173" spans="1:76" x14ac:dyDescent="0.25">
      <c r="A173" s="28" t="s">
        <v>46</v>
      </c>
      <c r="B173" s="29" t="s">
        <v>533</v>
      </c>
      <c r="C173" s="150" t="s">
        <v>534</v>
      </c>
      <c r="D173" s="151"/>
      <c r="E173" s="30" t="s">
        <v>4</v>
      </c>
      <c r="F173" s="30" t="s">
        <v>4</v>
      </c>
      <c r="G173" s="30" t="s">
        <v>4</v>
      </c>
      <c r="H173" s="1">
        <f>ROUND(SUM(H174:H174),1)</f>
        <v>0</v>
      </c>
      <c r="I173" s="1">
        <f>ROUND(SUM(I174:I174),1)</f>
        <v>0</v>
      </c>
      <c r="J173" s="1">
        <f>ROUND(SUM(J174:J174),1)</f>
        <v>0</v>
      </c>
      <c r="K173" s="31" t="s">
        <v>46</v>
      </c>
      <c r="AI173" s="11" t="s">
        <v>46</v>
      </c>
      <c r="AS173" s="1">
        <f>SUM(AJ174:AJ174)</f>
        <v>0</v>
      </c>
      <c r="AT173" s="1">
        <f>SUM(AK174:AK174)</f>
        <v>0</v>
      </c>
      <c r="AU173" s="1">
        <f>SUM(AL174:AL174)</f>
        <v>0</v>
      </c>
    </row>
    <row r="174" spans="1:76" x14ac:dyDescent="0.25">
      <c r="A174" s="2" t="s">
        <v>535</v>
      </c>
      <c r="B174" s="3" t="s">
        <v>536</v>
      </c>
      <c r="C174" s="93" t="s">
        <v>537</v>
      </c>
      <c r="D174" s="94"/>
      <c r="E174" s="3" t="s">
        <v>71</v>
      </c>
      <c r="F174" s="25">
        <v>112.068</v>
      </c>
      <c r="G174" s="25">
        <v>0</v>
      </c>
      <c r="H174" s="25">
        <f>ROUND(F174*AO174,2)</f>
        <v>0</v>
      </c>
      <c r="I174" s="25">
        <f>ROUND(F174*AP174,2)</f>
        <v>0</v>
      </c>
      <c r="J174" s="25">
        <f>ROUND(F174*G174,1)</f>
        <v>0</v>
      </c>
      <c r="K174" s="26" t="s">
        <v>53</v>
      </c>
      <c r="Z174" s="25">
        <f>ROUND(IF(AQ174="5",BJ174,0),2)</f>
        <v>0</v>
      </c>
      <c r="AB174" s="25">
        <f>ROUND(IF(AQ174="1",BH174,0),2)</f>
        <v>0</v>
      </c>
      <c r="AC174" s="25">
        <f>ROUND(IF(AQ174="1",BI174,0),2)</f>
        <v>0</v>
      </c>
      <c r="AD174" s="25">
        <f>ROUND(IF(AQ174="7",BH174,0),2)</f>
        <v>0</v>
      </c>
      <c r="AE174" s="25">
        <f>ROUND(IF(AQ174="7",BI174,0),2)</f>
        <v>0</v>
      </c>
      <c r="AF174" s="25">
        <f>ROUND(IF(AQ174="2",BH174,0),2)</f>
        <v>0</v>
      </c>
      <c r="AG174" s="25">
        <f>ROUND(IF(AQ174="2",BI174,0),2)</f>
        <v>0</v>
      </c>
      <c r="AH174" s="25">
        <f>ROUND(IF(AQ174="0",BJ174,0),2)</f>
        <v>0</v>
      </c>
      <c r="AI174" s="11" t="s">
        <v>46</v>
      </c>
      <c r="AJ174" s="25">
        <f>IF(AN174=0,J174,0)</f>
        <v>0</v>
      </c>
      <c r="AK174" s="25">
        <f>IF(AN174=12,J174,0)</f>
        <v>0</v>
      </c>
      <c r="AL174" s="25">
        <f>IF(AN174=21,J174,0)</f>
        <v>0</v>
      </c>
      <c r="AN174" s="25">
        <v>21</v>
      </c>
      <c r="AO174" s="25">
        <f>G174*0</f>
        <v>0</v>
      </c>
      <c r="AP174" s="25">
        <f>G174*(1-0)</f>
        <v>0</v>
      </c>
      <c r="AQ174" s="27" t="s">
        <v>68</v>
      </c>
      <c r="AV174" s="25">
        <f>ROUND(AW174+AX174,2)</f>
        <v>0</v>
      </c>
      <c r="AW174" s="25">
        <f>ROUND(F174*AO174,2)</f>
        <v>0</v>
      </c>
      <c r="AX174" s="25">
        <f>ROUND(F174*AP174,2)</f>
        <v>0</v>
      </c>
      <c r="AY174" s="27" t="s">
        <v>538</v>
      </c>
      <c r="AZ174" s="27" t="s">
        <v>305</v>
      </c>
      <c r="BA174" s="11" t="s">
        <v>56</v>
      </c>
      <c r="BC174" s="25">
        <f>AW174+AX174</f>
        <v>0</v>
      </c>
      <c r="BD174" s="25">
        <f>G174/(100-BE174)*100</f>
        <v>0</v>
      </c>
      <c r="BE174" s="25">
        <v>0</v>
      </c>
      <c r="BF174" s="25">
        <f>174</f>
        <v>174</v>
      </c>
      <c r="BH174" s="25">
        <f>F174*AO174</f>
        <v>0</v>
      </c>
      <c r="BI174" s="25">
        <f>F174*AP174</f>
        <v>0</v>
      </c>
      <c r="BJ174" s="25">
        <f>F174*G174</f>
        <v>0</v>
      </c>
      <c r="BK174" s="27" t="s">
        <v>57</v>
      </c>
      <c r="BL174" s="25"/>
      <c r="BW174" s="25">
        <v>21</v>
      </c>
      <c r="BX174" s="5" t="s">
        <v>537</v>
      </c>
    </row>
    <row r="175" spans="1:76" x14ac:dyDescent="0.25">
      <c r="A175" s="28" t="s">
        <v>46</v>
      </c>
      <c r="B175" s="29" t="s">
        <v>539</v>
      </c>
      <c r="C175" s="150" t="s">
        <v>540</v>
      </c>
      <c r="D175" s="151"/>
      <c r="E175" s="30" t="s">
        <v>4</v>
      </c>
      <c r="F175" s="30" t="s">
        <v>4</v>
      </c>
      <c r="G175" s="30" t="s">
        <v>4</v>
      </c>
      <c r="H175" s="1">
        <f>ROUND(SUM(H176:H179),1)</f>
        <v>0</v>
      </c>
      <c r="I175" s="1">
        <f>ROUND(SUM(I176:I179),1)</f>
        <v>0</v>
      </c>
      <c r="J175" s="1">
        <f>ROUND(SUM(J176:J179),1)</f>
        <v>0</v>
      </c>
      <c r="K175" s="31" t="s">
        <v>46</v>
      </c>
      <c r="AI175" s="11" t="s">
        <v>46</v>
      </c>
      <c r="AS175" s="1">
        <f>SUM(AJ176:AJ179)</f>
        <v>0</v>
      </c>
      <c r="AT175" s="1">
        <f>SUM(AK176:AK179)</f>
        <v>0</v>
      </c>
      <c r="AU175" s="1">
        <f>SUM(AL176:AL179)</f>
        <v>0</v>
      </c>
    </row>
    <row r="176" spans="1:76" x14ac:dyDescent="0.25">
      <c r="A176" s="2" t="s">
        <v>541</v>
      </c>
      <c r="B176" s="3" t="s">
        <v>542</v>
      </c>
      <c r="C176" s="93" t="s">
        <v>543</v>
      </c>
      <c r="D176" s="94"/>
      <c r="E176" s="3" t="s">
        <v>93</v>
      </c>
      <c r="F176" s="25">
        <v>33.768000000000001</v>
      </c>
      <c r="G176" s="25">
        <v>0</v>
      </c>
      <c r="H176" s="25">
        <f>ROUND(F176*AO176,2)</f>
        <v>0</v>
      </c>
      <c r="I176" s="25">
        <f>ROUND(F176*AP176,2)</f>
        <v>0</v>
      </c>
      <c r="J176" s="25">
        <f>ROUND(F176*G176,1)</f>
        <v>0</v>
      </c>
      <c r="K176" s="26" t="s">
        <v>53</v>
      </c>
      <c r="Z176" s="25">
        <f>ROUND(IF(AQ176="5",BJ176,0),2)</f>
        <v>0</v>
      </c>
      <c r="AB176" s="25">
        <f>ROUND(IF(AQ176="1",BH176,0),2)</f>
        <v>0</v>
      </c>
      <c r="AC176" s="25">
        <f>ROUND(IF(AQ176="1",BI176,0),2)</f>
        <v>0</v>
      </c>
      <c r="AD176" s="25">
        <f>ROUND(IF(AQ176="7",BH176,0),2)</f>
        <v>0</v>
      </c>
      <c r="AE176" s="25">
        <f>ROUND(IF(AQ176="7",BI176,0),2)</f>
        <v>0</v>
      </c>
      <c r="AF176" s="25">
        <f>ROUND(IF(AQ176="2",BH176,0),2)</f>
        <v>0</v>
      </c>
      <c r="AG176" s="25">
        <f>ROUND(IF(AQ176="2",BI176,0),2)</f>
        <v>0</v>
      </c>
      <c r="AH176" s="25">
        <f>ROUND(IF(AQ176="0",BJ176,0),2)</f>
        <v>0</v>
      </c>
      <c r="AI176" s="11" t="s">
        <v>46</v>
      </c>
      <c r="AJ176" s="25">
        <f>IF(AN176=0,J176,0)</f>
        <v>0</v>
      </c>
      <c r="AK176" s="25">
        <f>IF(AN176=12,J176,0)</f>
        <v>0</v>
      </c>
      <c r="AL176" s="25">
        <f>IF(AN176=21,J176,0)</f>
        <v>0</v>
      </c>
      <c r="AN176" s="25">
        <v>21</v>
      </c>
      <c r="AO176" s="25">
        <f>G176*0</f>
        <v>0</v>
      </c>
      <c r="AP176" s="25">
        <f>G176*(1-0)</f>
        <v>0</v>
      </c>
      <c r="AQ176" s="27" t="s">
        <v>76</v>
      </c>
      <c r="AV176" s="25">
        <f>ROUND(AW176+AX176,2)</f>
        <v>0</v>
      </c>
      <c r="AW176" s="25">
        <f>ROUND(F176*AO176,2)</f>
        <v>0</v>
      </c>
      <c r="AX176" s="25">
        <f>ROUND(F176*AP176,2)</f>
        <v>0</v>
      </c>
      <c r="AY176" s="27" t="s">
        <v>544</v>
      </c>
      <c r="AZ176" s="27" t="s">
        <v>545</v>
      </c>
      <c r="BA176" s="11" t="s">
        <v>56</v>
      </c>
      <c r="BC176" s="25">
        <f>AW176+AX176</f>
        <v>0</v>
      </c>
      <c r="BD176" s="25">
        <f>G176/(100-BE176)*100</f>
        <v>0</v>
      </c>
      <c r="BE176" s="25">
        <v>0</v>
      </c>
      <c r="BF176" s="25">
        <f>176</f>
        <v>176</v>
      </c>
      <c r="BH176" s="25">
        <f>F176*AO176</f>
        <v>0</v>
      </c>
      <c r="BI176" s="25">
        <f>F176*AP176</f>
        <v>0</v>
      </c>
      <c r="BJ176" s="25">
        <f>F176*G176</f>
        <v>0</v>
      </c>
      <c r="BK176" s="27" t="s">
        <v>57</v>
      </c>
      <c r="BL176" s="25">
        <v>712</v>
      </c>
      <c r="BW176" s="25">
        <v>21</v>
      </c>
      <c r="BX176" s="5" t="s">
        <v>543</v>
      </c>
    </row>
    <row r="177" spans="1:76" x14ac:dyDescent="0.25">
      <c r="A177" s="2" t="s">
        <v>546</v>
      </c>
      <c r="B177" s="3" t="s">
        <v>547</v>
      </c>
      <c r="C177" s="93" t="s">
        <v>548</v>
      </c>
      <c r="D177" s="94"/>
      <c r="E177" s="3" t="s">
        <v>93</v>
      </c>
      <c r="F177" s="25">
        <v>30.82</v>
      </c>
      <c r="G177" s="25">
        <v>0</v>
      </c>
      <c r="H177" s="25">
        <f>ROUND(F177*AO177,2)</f>
        <v>0</v>
      </c>
      <c r="I177" s="25">
        <f>ROUND(F177*AP177,2)</f>
        <v>0</v>
      </c>
      <c r="J177" s="25">
        <f>ROUND(F177*G177,1)</f>
        <v>0</v>
      </c>
      <c r="K177" s="26" t="s">
        <v>53</v>
      </c>
      <c r="Z177" s="25">
        <f>ROUND(IF(AQ177="5",BJ177,0),2)</f>
        <v>0</v>
      </c>
      <c r="AB177" s="25">
        <f>ROUND(IF(AQ177="1",BH177,0),2)</f>
        <v>0</v>
      </c>
      <c r="AC177" s="25">
        <f>ROUND(IF(AQ177="1",BI177,0),2)</f>
        <v>0</v>
      </c>
      <c r="AD177" s="25">
        <f>ROUND(IF(AQ177="7",BH177,0),2)</f>
        <v>0</v>
      </c>
      <c r="AE177" s="25">
        <f>ROUND(IF(AQ177="7",BI177,0),2)</f>
        <v>0</v>
      </c>
      <c r="AF177" s="25">
        <f>ROUND(IF(AQ177="2",BH177,0),2)</f>
        <v>0</v>
      </c>
      <c r="AG177" s="25">
        <f>ROUND(IF(AQ177="2",BI177,0),2)</f>
        <v>0</v>
      </c>
      <c r="AH177" s="25">
        <f>ROUND(IF(AQ177="0",BJ177,0),2)</f>
        <v>0</v>
      </c>
      <c r="AI177" s="11" t="s">
        <v>46</v>
      </c>
      <c r="AJ177" s="25">
        <f>IF(AN177=0,J177,0)</f>
        <v>0</v>
      </c>
      <c r="AK177" s="25">
        <f>IF(AN177=12,J177,0)</f>
        <v>0</v>
      </c>
      <c r="AL177" s="25">
        <f>IF(AN177=21,J177,0)</f>
        <v>0</v>
      </c>
      <c r="AN177" s="25">
        <v>21</v>
      </c>
      <c r="AO177" s="25">
        <f>G177*0.711044471</f>
        <v>0</v>
      </c>
      <c r="AP177" s="25">
        <f>G177*(1-0.711044471)</f>
        <v>0</v>
      </c>
      <c r="AQ177" s="27" t="s">
        <v>76</v>
      </c>
      <c r="AV177" s="25">
        <f>ROUND(AW177+AX177,2)</f>
        <v>0</v>
      </c>
      <c r="AW177" s="25">
        <f>ROUND(F177*AO177,2)</f>
        <v>0</v>
      </c>
      <c r="AX177" s="25">
        <f>ROUND(F177*AP177,2)</f>
        <v>0</v>
      </c>
      <c r="AY177" s="27" t="s">
        <v>544</v>
      </c>
      <c r="AZ177" s="27" t="s">
        <v>545</v>
      </c>
      <c r="BA177" s="11" t="s">
        <v>56</v>
      </c>
      <c r="BC177" s="25">
        <f>AW177+AX177</f>
        <v>0</v>
      </c>
      <c r="BD177" s="25">
        <f>G177/(100-BE177)*100</f>
        <v>0</v>
      </c>
      <c r="BE177" s="25">
        <v>0</v>
      </c>
      <c r="BF177" s="25">
        <f>177</f>
        <v>177</v>
      </c>
      <c r="BH177" s="25">
        <f>F177*AO177</f>
        <v>0</v>
      </c>
      <c r="BI177" s="25">
        <f>F177*AP177</f>
        <v>0</v>
      </c>
      <c r="BJ177" s="25">
        <f>F177*G177</f>
        <v>0</v>
      </c>
      <c r="BK177" s="27" t="s">
        <v>57</v>
      </c>
      <c r="BL177" s="25">
        <v>712</v>
      </c>
      <c r="BW177" s="25">
        <v>21</v>
      </c>
      <c r="BX177" s="5" t="s">
        <v>548</v>
      </c>
    </row>
    <row r="178" spans="1:76" x14ac:dyDescent="0.25">
      <c r="A178" s="2" t="s">
        <v>549</v>
      </c>
      <c r="B178" s="3" t="s">
        <v>550</v>
      </c>
      <c r="C178" s="93" t="s">
        <v>551</v>
      </c>
      <c r="D178" s="94"/>
      <c r="E178" s="3" t="s">
        <v>93</v>
      </c>
      <c r="F178" s="25">
        <v>2.948</v>
      </c>
      <c r="G178" s="25">
        <v>0</v>
      </c>
      <c r="H178" s="25">
        <f>ROUND(F178*AO178,2)</f>
        <v>0</v>
      </c>
      <c r="I178" s="25">
        <f>ROUND(F178*AP178,2)</f>
        <v>0</v>
      </c>
      <c r="J178" s="25">
        <f>ROUND(F178*G178,1)</f>
        <v>0</v>
      </c>
      <c r="K178" s="26" t="s">
        <v>53</v>
      </c>
      <c r="Z178" s="25">
        <f>ROUND(IF(AQ178="5",BJ178,0),2)</f>
        <v>0</v>
      </c>
      <c r="AB178" s="25">
        <f>ROUND(IF(AQ178="1",BH178,0),2)</f>
        <v>0</v>
      </c>
      <c r="AC178" s="25">
        <f>ROUND(IF(AQ178="1",BI178,0),2)</f>
        <v>0</v>
      </c>
      <c r="AD178" s="25">
        <f>ROUND(IF(AQ178="7",BH178,0),2)</f>
        <v>0</v>
      </c>
      <c r="AE178" s="25">
        <f>ROUND(IF(AQ178="7",BI178,0),2)</f>
        <v>0</v>
      </c>
      <c r="AF178" s="25">
        <f>ROUND(IF(AQ178="2",BH178,0),2)</f>
        <v>0</v>
      </c>
      <c r="AG178" s="25">
        <f>ROUND(IF(AQ178="2",BI178,0),2)</f>
        <v>0</v>
      </c>
      <c r="AH178" s="25">
        <f>ROUND(IF(AQ178="0",BJ178,0),2)</f>
        <v>0</v>
      </c>
      <c r="AI178" s="11" t="s">
        <v>46</v>
      </c>
      <c r="AJ178" s="25">
        <f>IF(AN178=0,J178,0)</f>
        <v>0</v>
      </c>
      <c r="AK178" s="25">
        <f>IF(AN178=12,J178,0)</f>
        <v>0</v>
      </c>
      <c r="AL178" s="25">
        <f>IF(AN178=21,J178,0)</f>
        <v>0</v>
      </c>
      <c r="AN178" s="25">
        <v>21</v>
      </c>
      <c r="AO178" s="25">
        <f>G178*0.586854286</f>
        <v>0</v>
      </c>
      <c r="AP178" s="25">
        <f>G178*(1-0.586854286)</f>
        <v>0</v>
      </c>
      <c r="AQ178" s="27" t="s">
        <v>76</v>
      </c>
      <c r="AV178" s="25">
        <f>ROUND(AW178+AX178,2)</f>
        <v>0</v>
      </c>
      <c r="AW178" s="25">
        <f>ROUND(F178*AO178,2)</f>
        <v>0</v>
      </c>
      <c r="AX178" s="25">
        <f>ROUND(F178*AP178,2)</f>
        <v>0</v>
      </c>
      <c r="AY178" s="27" t="s">
        <v>544</v>
      </c>
      <c r="AZ178" s="27" t="s">
        <v>545</v>
      </c>
      <c r="BA178" s="11" t="s">
        <v>56</v>
      </c>
      <c r="BC178" s="25">
        <f>AW178+AX178</f>
        <v>0</v>
      </c>
      <c r="BD178" s="25">
        <f>G178/(100-BE178)*100</f>
        <v>0</v>
      </c>
      <c r="BE178" s="25">
        <v>0</v>
      </c>
      <c r="BF178" s="25">
        <f>178</f>
        <v>178</v>
      </c>
      <c r="BH178" s="25">
        <f>F178*AO178</f>
        <v>0</v>
      </c>
      <c r="BI178" s="25">
        <f>F178*AP178</f>
        <v>0</v>
      </c>
      <c r="BJ178" s="25">
        <f>F178*G178</f>
        <v>0</v>
      </c>
      <c r="BK178" s="27" t="s">
        <v>57</v>
      </c>
      <c r="BL178" s="25">
        <v>712</v>
      </c>
      <c r="BW178" s="25">
        <v>21</v>
      </c>
      <c r="BX178" s="5" t="s">
        <v>551</v>
      </c>
    </row>
    <row r="179" spans="1:76" x14ac:dyDescent="0.25">
      <c r="A179" s="2" t="s">
        <v>552</v>
      </c>
      <c r="B179" s="3" t="s">
        <v>553</v>
      </c>
      <c r="C179" s="93" t="s">
        <v>554</v>
      </c>
      <c r="D179" s="94"/>
      <c r="E179" s="3" t="s">
        <v>71</v>
      </c>
      <c r="F179" s="25">
        <v>0.80300000000000005</v>
      </c>
      <c r="G179" s="25">
        <v>0</v>
      </c>
      <c r="H179" s="25">
        <f>ROUND(F179*AO179,2)</f>
        <v>0</v>
      </c>
      <c r="I179" s="25">
        <f>ROUND(F179*AP179,2)</f>
        <v>0</v>
      </c>
      <c r="J179" s="25">
        <f>ROUND(F179*G179,1)</f>
        <v>0</v>
      </c>
      <c r="K179" s="26" t="s">
        <v>53</v>
      </c>
      <c r="Z179" s="25">
        <f>ROUND(IF(AQ179="5",BJ179,0),2)</f>
        <v>0</v>
      </c>
      <c r="AB179" s="25">
        <f>ROUND(IF(AQ179="1",BH179,0),2)</f>
        <v>0</v>
      </c>
      <c r="AC179" s="25">
        <f>ROUND(IF(AQ179="1",BI179,0),2)</f>
        <v>0</v>
      </c>
      <c r="AD179" s="25">
        <f>ROUND(IF(AQ179="7",BH179,0),2)</f>
        <v>0</v>
      </c>
      <c r="AE179" s="25">
        <f>ROUND(IF(AQ179="7",BI179,0),2)</f>
        <v>0</v>
      </c>
      <c r="AF179" s="25">
        <f>ROUND(IF(AQ179="2",BH179,0),2)</f>
        <v>0</v>
      </c>
      <c r="AG179" s="25">
        <f>ROUND(IF(AQ179="2",BI179,0),2)</f>
        <v>0</v>
      </c>
      <c r="AH179" s="25">
        <f>ROUND(IF(AQ179="0",BJ179,0),2)</f>
        <v>0</v>
      </c>
      <c r="AI179" s="11" t="s">
        <v>46</v>
      </c>
      <c r="AJ179" s="25">
        <f>IF(AN179=0,J179,0)</f>
        <v>0</v>
      </c>
      <c r="AK179" s="25">
        <f>IF(AN179=12,J179,0)</f>
        <v>0</v>
      </c>
      <c r="AL179" s="25">
        <f>IF(AN179=21,J179,0)</f>
        <v>0</v>
      </c>
      <c r="AN179" s="25">
        <v>21</v>
      </c>
      <c r="AO179" s="25">
        <f>G179*0</f>
        <v>0</v>
      </c>
      <c r="AP179" s="25">
        <f>G179*(1-0)</f>
        <v>0</v>
      </c>
      <c r="AQ179" s="27" t="s">
        <v>68</v>
      </c>
      <c r="AV179" s="25">
        <f>ROUND(AW179+AX179,2)</f>
        <v>0</v>
      </c>
      <c r="AW179" s="25">
        <f>ROUND(F179*AO179,2)</f>
        <v>0</v>
      </c>
      <c r="AX179" s="25">
        <f>ROUND(F179*AP179,2)</f>
        <v>0</v>
      </c>
      <c r="AY179" s="27" t="s">
        <v>544</v>
      </c>
      <c r="AZ179" s="27" t="s">
        <v>545</v>
      </c>
      <c r="BA179" s="11" t="s">
        <v>56</v>
      </c>
      <c r="BC179" s="25">
        <f>AW179+AX179</f>
        <v>0</v>
      </c>
      <c r="BD179" s="25">
        <f>G179/(100-BE179)*100</f>
        <v>0</v>
      </c>
      <c r="BE179" s="25">
        <v>0</v>
      </c>
      <c r="BF179" s="25">
        <f>179</f>
        <v>179</v>
      </c>
      <c r="BH179" s="25">
        <f>F179*AO179</f>
        <v>0</v>
      </c>
      <c r="BI179" s="25">
        <f>F179*AP179</f>
        <v>0</v>
      </c>
      <c r="BJ179" s="25">
        <f>F179*G179</f>
        <v>0</v>
      </c>
      <c r="BK179" s="27" t="s">
        <v>57</v>
      </c>
      <c r="BL179" s="25">
        <v>712</v>
      </c>
      <c r="BW179" s="25">
        <v>21</v>
      </c>
      <c r="BX179" s="5" t="s">
        <v>554</v>
      </c>
    </row>
    <row r="180" spans="1:76" x14ac:dyDescent="0.25">
      <c r="A180" s="28" t="s">
        <v>46</v>
      </c>
      <c r="B180" s="29" t="s">
        <v>555</v>
      </c>
      <c r="C180" s="150" t="s">
        <v>556</v>
      </c>
      <c r="D180" s="151"/>
      <c r="E180" s="30" t="s">
        <v>4</v>
      </c>
      <c r="F180" s="30" t="s">
        <v>4</v>
      </c>
      <c r="G180" s="30" t="s">
        <v>4</v>
      </c>
      <c r="H180" s="1">
        <f>ROUND(SUM(H181:H187),1)</f>
        <v>0</v>
      </c>
      <c r="I180" s="1">
        <f>ROUND(SUM(I181:I187),1)</f>
        <v>0</v>
      </c>
      <c r="J180" s="1">
        <f>ROUND(SUM(J181:J187),1)</f>
        <v>0</v>
      </c>
      <c r="K180" s="31" t="s">
        <v>46</v>
      </c>
      <c r="AI180" s="11" t="s">
        <v>46</v>
      </c>
      <c r="AS180" s="1">
        <f>SUM(AJ181:AJ187)</f>
        <v>0</v>
      </c>
      <c r="AT180" s="1">
        <f>SUM(AK181:AK187)</f>
        <v>0</v>
      </c>
      <c r="AU180" s="1">
        <f>SUM(AL181:AL187)</f>
        <v>0</v>
      </c>
    </row>
    <row r="181" spans="1:76" x14ac:dyDescent="0.25">
      <c r="A181" s="2" t="s">
        <v>557</v>
      </c>
      <c r="B181" s="3" t="s">
        <v>558</v>
      </c>
      <c r="C181" s="93" t="s">
        <v>559</v>
      </c>
      <c r="D181" s="94"/>
      <c r="E181" s="3" t="s">
        <v>93</v>
      </c>
      <c r="F181" s="25">
        <v>542.68499999999995</v>
      </c>
      <c r="G181" s="25">
        <v>0</v>
      </c>
      <c r="H181" s="25">
        <f t="shared" ref="H181:H187" si="182">ROUND(F181*AO181,2)</f>
        <v>0</v>
      </c>
      <c r="I181" s="25">
        <f t="shared" ref="I181:I187" si="183">ROUND(F181*AP181,2)</f>
        <v>0</v>
      </c>
      <c r="J181" s="25">
        <f t="shared" ref="J181:J187" si="184">ROUND(F181*G181,1)</f>
        <v>0</v>
      </c>
      <c r="K181" s="26" t="s">
        <v>53</v>
      </c>
      <c r="Z181" s="25">
        <f t="shared" ref="Z181:Z187" si="185">ROUND(IF(AQ181="5",BJ181,0),2)</f>
        <v>0</v>
      </c>
      <c r="AB181" s="25">
        <f t="shared" ref="AB181:AB187" si="186">ROUND(IF(AQ181="1",BH181,0),2)</f>
        <v>0</v>
      </c>
      <c r="AC181" s="25">
        <f t="shared" ref="AC181:AC187" si="187">ROUND(IF(AQ181="1",BI181,0),2)</f>
        <v>0</v>
      </c>
      <c r="AD181" s="25">
        <f t="shared" ref="AD181:AD187" si="188">ROUND(IF(AQ181="7",BH181,0),2)</f>
        <v>0</v>
      </c>
      <c r="AE181" s="25">
        <f t="shared" ref="AE181:AE187" si="189">ROUND(IF(AQ181="7",BI181,0),2)</f>
        <v>0</v>
      </c>
      <c r="AF181" s="25">
        <f t="shared" ref="AF181:AF187" si="190">ROUND(IF(AQ181="2",BH181,0),2)</f>
        <v>0</v>
      </c>
      <c r="AG181" s="25">
        <f t="shared" ref="AG181:AG187" si="191">ROUND(IF(AQ181="2",BI181,0),2)</f>
        <v>0</v>
      </c>
      <c r="AH181" s="25">
        <f t="shared" ref="AH181:AH187" si="192">ROUND(IF(AQ181="0",BJ181,0),2)</f>
        <v>0</v>
      </c>
      <c r="AI181" s="11" t="s">
        <v>46</v>
      </c>
      <c r="AJ181" s="25">
        <f t="shared" ref="AJ181:AJ187" si="193">IF(AN181=0,J181,0)</f>
        <v>0</v>
      </c>
      <c r="AK181" s="25">
        <f t="shared" ref="AK181:AK187" si="194">IF(AN181=12,J181,0)</f>
        <v>0</v>
      </c>
      <c r="AL181" s="25">
        <f t="shared" ref="AL181:AL187" si="195">IF(AN181=21,J181,0)</f>
        <v>0</v>
      </c>
      <c r="AN181" s="25">
        <v>21</v>
      </c>
      <c r="AO181" s="25">
        <f>G181*0</f>
        <v>0</v>
      </c>
      <c r="AP181" s="25">
        <f>G181*(1-0)</f>
        <v>0</v>
      </c>
      <c r="AQ181" s="27" t="s">
        <v>76</v>
      </c>
      <c r="AV181" s="25">
        <f t="shared" ref="AV181:AV187" si="196">ROUND(AW181+AX181,2)</f>
        <v>0</v>
      </c>
      <c r="AW181" s="25">
        <f t="shared" ref="AW181:AW187" si="197">ROUND(F181*AO181,2)</f>
        <v>0</v>
      </c>
      <c r="AX181" s="25">
        <f t="shared" ref="AX181:AX187" si="198">ROUND(F181*AP181,2)</f>
        <v>0</v>
      </c>
      <c r="AY181" s="27" t="s">
        <v>560</v>
      </c>
      <c r="AZ181" s="27" t="s">
        <v>545</v>
      </c>
      <c r="BA181" s="11" t="s">
        <v>56</v>
      </c>
      <c r="BC181" s="25">
        <f t="shared" ref="BC181:BC187" si="199">AW181+AX181</f>
        <v>0</v>
      </c>
      <c r="BD181" s="25">
        <f t="shared" ref="BD181:BD187" si="200">G181/(100-BE181)*100</f>
        <v>0</v>
      </c>
      <c r="BE181" s="25">
        <v>0</v>
      </c>
      <c r="BF181" s="25">
        <f>181</f>
        <v>181</v>
      </c>
      <c r="BH181" s="25">
        <f t="shared" ref="BH181:BH187" si="201">F181*AO181</f>
        <v>0</v>
      </c>
      <c r="BI181" s="25">
        <f t="shared" ref="BI181:BI187" si="202">F181*AP181</f>
        <v>0</v>
      </c>
      <c r="BJ181" s="25">
        <f t="shared" ref="BJ181:BJ187" si="203">F181*G181</f>
        <v>0</v>
      </c>
      <c r="BK181" s="27" t="s">
        <v>57</v>
      </c>
      <c r="BL181" s="25">
        <v>713</v>
      </c>
      <c r="BW181" s="25">
        <v>21</v>
      </c>
      <c r="BX181" s="5" t="s">
        <v>559</v>
      </c>
    </row>
    <row r="182" spans="1:76" x14ac:dyDescent="0.25">
      <c r="A182" s="2" t="s">
        <v>561</v>
      </c>
      <c r="B182" s="3" t="s">
        <v>562</v>
      </c>
      <c r="C182" s="93" t="s">
        <v>563</v>
      </c>
      <c r="D182" s="94"/>
      <c r="E182" s="3" t="s">
        <v>93</v>
      </c>
      <c r="F182" s="25">
        <v>1139.617</v>
      </c>
      <c r="G182" s="25">
        <v>0</v>
      </c>
      <c r="H182" s="25">
        <f t="shared" si="182"/>
        <v>0</v>
      </c>
      <c r="I182" s="25">
        <f t="shared" si="183"/>
        <v>0</v>
      </c>
      <c r="J182" s="25">
        <f t="shared" si="184"/>
        <v>0</v>
      </c>
      <c r="K182" s="26" t="s">
        <v>53</v>
      </c>
      <c r="Z182" s="25">
        <f t="shared" si="185"/>
        <v>0</v>
      </c>
      <c r="AB182" s="25">
        <f t="shared" si="186"/>
        <v>0</v>
      </c>
      <c r="AC182" s="25">
        <f t="shared" si="187"/>
        <v>0</v>
      </c>
      <c r="AD182" s="25">
        <f t="shared" si="188"/>
        <v>0</v>
      </c>
      <c r="AE182" s="25">
        <f t="shared" si="189"/>
        <v>0</v>
      </c>
      <c r="AF182" s="25">
        <f t="shared" si="190"/>
        <v>0</v>
      </c>
      <c r="AG182" s="25">
        <f t="shared" si="191"/>
        <v>0</v>
      </c>
      <c r="AH182" s="25">
        <f t="shared" si="192"/>
        <v>0</v>
      </c>
      <c r="AI182" s="11" t="s">
        <v>46</v>
      </c>
      <c r="AJ182" s="25">
        <f t="shared" si="193"/>
        <v>0</v>
      </c>
      <c r="AK182" s="25">
        <f t="shared" si="194"/>
        <v>0</v>
      </c>
      <c r="AL182" s="25">
        <f t="shared" si="195"/>
        <v>0</v>
      </c>
      <c r="AN182" s="25">
        <v>21</v>
      </c>
      <c r="AO182" s="25">
        <f>G182*1</f>
        <v>0</v>
      </c>
      <c r="AP182" s="25">
        <f>G182*(1-1)</f>
        <v>0</v>
      </c>
      <c r="AQ182" s="27" t="s">
        <v>76</v>
      </c>
      <c r="AV182" s="25">
        <f t="shared" si="196"/>
        <v>0</v>
      </c>
      <c r="AW182" s="25">
        <f t="shared" si="197"/>
        <v>0</v>
      </c>
      <c r="AX182" s="25">
        <f t="shared" si="198"/>
        <v>0</v>
      </c>
      <c r="AY182" s="27" t="s">
        <v>560</v>
      </c>
      <c r="AZ182" s="27" t="s">
        <v>545</v>
      </c>
      <c r="BA182" s="11" t="s">
        <v>56</v>
      </c>
      <c r="BC182" s="25">
        <f t="shared" si="199"/>
        <v>0</v>
      </c>
      <c r="BD182" s="25">
        <f t="shared" si="200"/>
        <v>0</v>
      </c>
      <c r="BE182" s="25">
        <v>0</v>
      </c>
      <c r="BF182" s="25">
        <f>182</f>
        <v>182</v>
      </c>
      <c r="BH182" s="25">
        <f t="shared" si="201"/>
        <v>0</v>
      </c>
      <c r="BI182" s="25">
        <f t="shared" si="202"/>
        <v>0</v>
      </c>
      <c r="BJ182" s="25">
        <f t="shared" si="203"/>
        <v>0</v>
      </c>
      <c r="BK182" s="27" t="s">
        <v>75</v>
      </c>
      <c r="BL182" s="25">
        <v>713</v>
      </c>
      <c r="BW182" s="25">
        <v>21</v>
      </c>
      <c r="BX182" s="5" t="s">
        <v>563</v>
      </c>
    </row>
    <row r="183" spans="1:76" ht="25.5" x14ac:dyDescent="0.25">
      <c r="A183" s="2" t="s">
        <v>564</v>
      </c>
      <c r="B183" s="3" t="s">
        <v>565</v>
      </c>
      <c r="C183" s="93" t="s">
        <v>566</v>
      </c>
      <c r="D183" s="94"/>
      <c r="E183" s="3" t="s">
        <v>93</v>
      </c>
      <c r="F183" s="25">
        <v>56</v>
      </c>
      <c r="G183" s="25">
        <v>0</v>
      </c>
      <c r="H183" s="25">
        <f t="shared" si="182"/>
        <v>0</v>
      </c>
      <c r="I183" s="25">
        <f t="shared" si="183"/>
        <v>0</v>
      </c>
      <c r="J183" s="25">
        <f t="shared" si="184"/>
        <v>0</v>
      </c>
      <c r="K183" s="26" t="s">
        <v>53</v>
      </c>
      <c r="Z183" s="25">
        <f t="shared" si="185"/>
        <v>0</v>
      </c>
      <c r="AB183" s="25">
        <f t="shared" si="186"/>
        <v>0</v>
      </c>
      <c r="AC183" s="25">
        <f t="shared" si="187"/>
        <v>0</v>
      </c>
      <c r="AD183" s="25">
        <f t="shared" si="188"/>
        <v>0</v>
      </c>
      <c r="AE183" s="25">
        <f t="shared" si="189"/>
        <v>0</v>
      </c>
      <c r="AF183" s="25">
        <f t="shared" si="190"/>
        <v>0</v>
      </c>
      <c r="AG183" s="25">
        <f t="shared" si="191"/>
        <v>0</v>
      </c>
      <c r="AH183" s="25">
        <f t="shared" si="192"/>
        <v>0</v>
      </c>
      <c r="AI183" s="11" t="s">
        <v>46</v>
      </c>
      <c r="AJ183" s="25">
        <f t="shared" si="193"/>
        <v>0</v>
      </c>
      <c r="AK183" s="25">
        <f t="shared" si="194"/>
        <v>0</v>
      </c>
      <c r="AL183" s="25">
        <f t="shared" si="195"/>
        <v>0</v>
      </c>
      <c r="AN183" s="25">
        <v>21</v>
      </c>
      <c r="AO183" s="25">
        <f>G183*0.746293801</f>
        <v>0</v>
      </c>
      <c r="AP183" s="25">
        <f>G183*(1-0.746293801)</f>
        <v>0</v>
      </c>
      <c r="AQ183" s="27" t="s">
        <v>76</v>
      </c>
      <c r="AV183" s="25">
        <f t="shared" si="196"/>
        <v>0</v>
      </c>
      <c r="AW183" s="25">
        <f t="shared" si="197"/>
        <v>0</v>
      </c>
      <c r="AX183" s="25">
        <f t="shared" si="198"/>
        <v>0</v>
      </c>
      <c r="AY183" s="27" t="s">
        <v>560</v>
      </c>
      <c r="AZ183" s="27" t="s">
        <v>545</v>
      </c>
      <c r="BA183" s="11" t="s">
        <v>56</v>
      </c>
      <c r="BC183" s="25">
        <f t="shared" si="199"/>
        <v>0</v>
      </c>
      <c r="BD183" s="25">
        <f t="shared" si="200"/>
        <v>0</v>
      </c>
      <c r="BE183" s="25">
        <v>0</v>
      </c>
      <c r="BF183" s="25">
        <f>183</f>
        <v>183</v>
      </c>
      <c r="BH183" s="25">
        <f t="shared" si="201"/>
        <v>0</v>
      </c>
      <c r="BI183" s="25">
        <f t="shared" si="202"/>
        <v>0</v>
      </c>
      <c r="BJ183" s="25">
        <f t="shared" si="203"/>
        <v>0</v>
      </c>
      <c r="BK183" s="27" t="s">
        <v>57</v>
      </c>
      <c r="BL183" s="25">
        <v>713</v>
      </c>
      <c r="BW183" s="25">
        <v>21</v>
      </c>
      <c r="BX183" s="5" t="s">
        <v>566</v>
      </c>
    </row>
    <row r="184" spans="1:76" x14ac:dyDescent="0.25">
      <c r="A184" s="2" t="s">
        <v>567</v>
      </c>
      <c r="B184" s="3" t="s">
        <v>568</v>
      </c>
      <c r="C184" s="93" t="s">
        <v>569</v>
      </c>
      <c r="D184" s="94"/>
      <c r="E184" s="3" t="s">
        <v>93</v>
      </c>
      <c r="F184" s="25">
        <v>20.663</v>
      </c>
      <c r="G184" s="25">
        <v>0</v>
      </c>
      <c r="H184" s="25">
        <f t="shared" si="182"/>
        <v>0</v>
      </c>
      <c r="I184" s="25">
        <f t="shared" si="183"/>
        <v>0</v>
      </c>
      <c r="J184" s="25">
        <f t="shared" si="184"/>
        <v>0</v>
      </c>
      <c r="K184" s="26" t="s">
        <v>53</v>
      </c>
      <c r="Z184" s="25">
        <f t="shared" si="185"/>
        <v>0</v>
      </c>
      <c r="AB184" s="25">
        <f t="shared" si="186"/>
        <v>0</v>
      </c>
      <c r="AC184" s="25">
        <f t="shared" si="187"/>
        <v>0</v>
      </c>
      <c r="AD184" s="25">
        <f t="shared" si="188"/>
        <v>0</v>
      </c>
      <c r="AE184" s="25">
        <f t="shared" si="189"/>
        <v>0</v>
      </c>
      <c r="AF184" s="25">
        <f t="shared" si="190"/>
        <v>0</v>
      </c>
      <c r="AG184" s="25">
        <f t="shared" si="191"/>
        <v>0</v>
      </c>
      <c r="AH184" s="25">
        <f t="shared" si="192"/>
        <v>0</v>
      </c>
      <c r="AI184" s="11" t="s">
        <v>46</v>
      </c>
      <c r="AJ184" s="25">
        <f t="shared" si="193"/>
        <v>0</v>
      </c>
      <c r="AK184" s="25">
        <f t="shared" si="194"/>
        <v>0</v>
      </c>
      <c r="AL184" s="25">
        <f t="shared" si="195"/>
        <v>0</v>
      </c>
      <c r="AN184" s="25">
        <v>21</v>
      </c>
      <c r="AO184" s="25">
        <f>G184*0.335744416</f>
        <v>0</v>
      </c>
      <c r="AP184" s="25">
        <f>G184*(1-0.335744416)</f>
        <v>0</v>
      </c>
      <c r="AQ184" s="27" t="s">
        <v>76</v>
      </c>
      <c r="AV184" s="25">
        <f t="shared" si="196"/>
        <v>0</v>
      </c>
      <c r="AW184" s="25">
        <f t="shared" si="197"/>
        <v>0</v>
      </c>
      <c r="AX184" s="25">
        <f t="shared" si="198"/>
        <v>0</v>
      </c>
      <c r="AY184" s="27" t="s">
        <v>560</v>
      </c>
      <c r="AZ184" s="27" t="s">
        <v>545</v>
      </c>
      <c r="BA184" s="11" t="s">
        <v>56</v>
      </c>
      <c r="BC184" s="25">
        <f t="shared" si="199"/>
        <v>0</v>
      </c>
      <c r="BD184" s="25">
        <f t="shared" si="200"/>
        <v>0</v>
      </c>
      <c r="BE184" s="25">
        <v>0</v>
      </c>
      <c r="BF184" s="25">
        <f>184</f>
        <v>184</v>
      </c>
      <c r="BH184" s="25">
        <f t="shared" si="201"/>
        <v>0</v>
      </c>
      <c r="BI184" s="25">
        <f t="shared" si="202"/>
        <v>0</v>
      </c>
      <c r="BJ184" s="25">
        <f t="shared" si="203"/>
        <v>0</v>
      </c>
      <c r="BK184" s="27" t="s">
        <v>57</v>
      </c>
      <c r="BL184" s="25">
        <v>713</v>
      </c>
      <c r="BW184" s="25">
        <v>21</v>
      </c>
      <c r="BX184" s="5" t="s">
        <v>569</v>
      </c>
    </row>
    <row r="185" spans="1:76" x14ac:dyDescent="0.25">
      <c r="A185" s="2" t="s">
        <v>570</v>
      </c>
      <c r="B185" s="3" t="s">
        <v>571</v>
      </c>
      <c r="C185" s="93" t="s">
        <v>572</v>
      </c>
      <c r="D185" s="94"/>
      <c r="E185" s="3" t="s">
        <v>93</v>
      </c>
      <c r="F185" s="25">
        <v>542.68499999999995</v>
      </c>
      <c r="G185" s="25">
        <v>0</v>
      </c>
      <c r="H185" s="25">
        <f t="shared" si="182"/>
        <v>0</v>
      </c>
      <c r="I185" s="25">
        <f t="shared" si="183"/>
        <v>0</v>
      </c>
      <c r="J185" s="25">
        <f t="shared" si="184"/>
        <v>0</v>
      </c>
      <c r="K185" s="26" t="s">
        <v>53</v>
      </c>
      <c r="Z185" s="25">
        <f t="shared" si="185"/>
        <v>0</v>
      </c>
      <c r="AB185" s="25">
        <f t="shared" si="186"/>
        <v>0</v>
      </c>
      <c r="AC185" s="25">
        <f t="shared" si="187"/>
        <v>0</v>
      </c>
      <c r="AD185" s="25">
        <f t="shared" si="188"/>
        <v>0</v>
      </c>
      <c r="AE185" s="25">
        <f t="shared" si="189"/>
        <v>0</v>
      </c>
      <c r="AF185" s="25">
        <f t="shared" si="190"/>
        <v>0</v>
      </c>
      <c r="AG185" s="25">
        <f t="shared" si="191"/>
        <v>0</v>
      </c>
      <c r="AH185" s="25">
        <f t="shared" si="192"/>
        <v>0</v>
      </c>
      <c r="AI185" s="11" t="s">
        <v>46</v>
      </c>
      <c r="AJ185" s="25">
        <f t="shared" si="193"/>
        <v>0</v>
      </c>
      <c r="AK185" s="25">
        <f t="shared" si="194"/>
        <v>0</v>
      </c>
      <c r="AL185" s="25">
        <f t="shared" si="195"/>
        <v>0</v>
      </c>
      <c r="AN185" s="25">
        <v>21</v>
      </c>
      <c r="AO185" s="25">
        <f>G185*0.625971772</f>
        <v>0</v>
      </c>
      <c r="AP185" s="25">
        <f>G185*(1-0.625971772)</f>
        <v>0</v>
      </c>
      <c r="AQ185" s="27" t="s">
        <v>76</v>
      </c>
      <c r="AV185" s="25">
        <f t="shared" si="196"/>
        <v>0</v>
      </c>
      <c r="AW185" s="25">
        <f t="shared" si="197"/>
        <v>0</v>
      </c>
      <c r="AX185" s="25">
        <f t="shared" si="198"/>
        <v>0</v>
      </c>
      <c r="AY185" s="27" t="s">
        <v>560</v>
      </c>
      <c r="AZ185" s="27" t="s">
        <v>545</v>
      </c>
      <c r="BA185" s="11" t="s">
        <v>56</v>
      </c>
      <c r="BC185" s="25">
        <f t="shared" si="199"/>
        <v>0</v>
      </c>
      <c r="BD185" s="25">
        <f t="shared" si="200"/>
        <v>0</v>
      </c>
      <c r="BE185" s="25">
        <v>0</v>
      </c>
      <c r="BF185" s="25">
        <f>185</f>
        <v>185</v>
      </c>
      <c r="BH185" s="25">
        <f t="shared" si="201"/>
        <v>0</v>
      </c>
      <c r="BI185" s="25">
        <f t="shared" si="202"/>
        <v>0</v>
      </c>
      <c r="BJ185" s="25">
        <f t="shared" si="203"/>
        <v>0</v>
      </c>
      <c r="BK185" s="27" t="s">
        <v>57</v>
      </c>
      <c r="BL185" s="25">
        <v>713</v>
      </c>
      <c r="BW185" s="25">
        <v>21</v>
      </c>
      <c r="BX185" s="5" t="s">
        <v>572</v>
      </c>
    </row>
    <row r="186" spans="1:76" x14ac:dyDescent="0.25">
      <c r="A186" s="2" t="s">
        <v>573</v>
      </c>
      <c r="B186" s="3" t="s">
        <v>574</v>
      </c>
      <c r="C186" s="93" t="s">
        <v>575</v>
      </c>
      <c r="D186" s="94"/>
      <c r="E186" s="3" t="s">
        <v>93</v>
      </c>
      <c r="F186" s="25">
        <v>542.68499999999995</v>
      </c>
      <c r="G186" s="25">
        <v>0</v>
      </c>
      <c r="H186" s="25">
        <f t="shared" si="182"/>
        <v>0</v>
      </c>
      <c r="I186" s="25">
        <f t="shared" si="183"/>
        <v>0</v>
      </c>
      <c r="J186" s="25">
        <f t="shared" si="184"/>
        <v>0</v>
      </c>
      <c r="K186" s="26" t="s">
        <v>53</v>
      </c>
      <c r="Z186" s="25">
        <f t="shared" si="185"/>
        <v>0</v>
      </c>
      <c r="AB186" s="25">
        <f t="shared" si="186"/>
        <v>0</v>
      </c>
      <c r="AC186" s="25">
        <f t="shared" si="187"/>
        <v>0</v>
      </c>
      <c r="AD186" s="25">
        <f t="shared" si="188"/>
        <v>0</v>
      </c>
      <c r="AE186" s="25">
        <f t="shared" si="189"/>
        <v>0</v>
      </c>
      <c r="AF186" s="25">
        <f t="shared" si="190"/>
        <v>0</v>
      </c>
      <c r="AG186" s="25">
        <f t="shared" si="191"/>
        <v>0</v>
      </c>
      <c r="AH186" s="25">
        <f t="shared" si="192"/>
        <v>0</v>
      </c>
      <c r="AI186" s="11" t="s">
        <v>46</v>
      </c>
      <c r="AJ186" s="25">
        <f t="shared" si="193"/>
        <v>0</v>
      </c>
      <c r="AK186" s="25">
        <f t="shared" si="194"/>
        <v>0</v>
      </c>
      <c r="AL186" s="25">
        <f t="shared" si="195"/>
        <v>0</v>
      </c>
      <c r="AN186" s="25">
        <v>21</v>
      </c>
      <c r="AO186" s="25">
        <f>G186*0.176178659</f>
        <v>0</v>
      </c>
      <c r="AP186" s="25">
        <f>G186*(1-0.176178659)</f>
        <v>0</v>
      </c>
      <c r="AQ186" s="27" t="s">
        <v>76</v>
      </c>
      <c r="AV186" s="25">
        <f t="shared" si="196"/>
        <v>0</v>
      </c>
      <c r="AW186" s="25">
        <f t="shared" si="197"/>
        <v>0</v>
      </c>
      <c r="AX186" s="25">
        <f t="shared" si="198"/>
        <v>0</v>
      </c>
      <c r="AY186" s="27" t="s">
        <v>560</v>
      </c>
      <c r="AZ186" s="27" t="s">
        <v>545</v>
      </c>
      <c r="BA186" s="11" t="s">
        <v>56</v>
      </c>
      <c r="BC186" s="25">
        <f t="shared" si="199"/>
        <v>0</v>
      </c>
      <c r="BD186" s="25">
        <f t="shared" si="200"/>
        <v>0</v>
      </c>
      <c r="BE186" s="25">
        <v>0</v>
      </c>
      <c r="BF186" s="25">
        <f>186</f>
        <v>186</v>
      </c>
      <c r="BH186" s="25">
        <f t="shared" si="201"/>
        <v>0</v>
      </c>
      <c r="BI186" s="25">
        <f t="shared" si="202"/>
        <v>0</v>
      </c>
      <c r="BJ186" s="25">
        <f t="shared" si="203"/>
        <v>0</v>
      </c>
      <c r="BK186" s="27" t="s">
        <v>57</v>
      </c>
      <c r="BL186" s="25">
        <v>713</v>
      </c>
      <c r="BW186" s="25">
        <v>21</v>
      </c>
      <c r="BX186" s="5" t="s">
        <v>575</v>
      </c>
    </row>
    <row r="187" spans="1:76" x14ac:dyDescent="0.25">
      <c r="A187" s="2" t="s">
        <v>576</v>
      </c>
      <c r="B187" s="3" t="s">
        <v>577</v>
      </c>
      <c r="C187" s="93" t="s">
        <v>578</v>
      </c>
      <c r="D187" s="94"/>
      <c r="E187" s="3" t="s">
        <v>71</v>
      </c>
      <c r="F187" s="25">
        <v>3.9079999999999999</v>
      </c>
      <c r="G187" s="25">
        <v>0</v>
      </c>
      <c r="H187" s="25">
        <f t="shared" si="182"/>
        <v>0</v>
      </c>
      <c r="I187" s="25">
        <f t="shared" si="183"/>
        <v>0</v>
      </c>
      <c r="J187" s="25">
        <f t="shared" si="184"/>
        <v>0</v>
      </c>
      <c r="K187" s="26" t="s">
        <v>53</v>
      </c>
      <c r="Z187" s="25">
        <f t="shared" si="185"/>
        <v>0</v>
      </c>
      <c r="AB187" s="25">
        <f t="shared" si="186"/>
        <v>0</v>
      </c>
      <c r="AC187" s="25">
        <f t="shared" si="187"/>
        <v>0</v>
      </c>
      <c r="AD187" s="25">
        <f t="shared" si="188"/>
        <v>0</v>
      </c>
      <c r="AE187" s="25">
        <f t="shared" si="189"/>
        <v>0</v>
      </c>
      <c r="AF187" s="25">
        <f t="shared" si="190"/>
        <v>0</v>
      </c>
      <c r="AG187" s="25">
        <f t="shared" si="191"/>
        <v>0</v>
      </c>
      <c r="AH187" s="25">
        <f t="shared" si="192"/>
        <v>0</v>
      </c>
      <c r="AI187" s="11" t="s">
        <v>46</v>
      </c>
      <c r="AJ187" s="25">
        <f t="shared" si="193"/>
        <v>0</v>
      </c>
      <c r="AK187" s="25">
        <f t="shared" si="194"/>
        <v>0</v>
      </c>
      <c r="AL187" s="25">
        <f t="shared" si="195"/>
        <v>0</v>
      </c>
      <c r="AN187" s="25">
        <v>21</v>
      </c>
      <c r="AO187" s="25">
        <f>G187*0</f>
        <v>0</v>
      </c>
      <c r="AP187" s="25">
        <f>G187*(1-0)</f>
        <v>0</v>
      </c>
      <c r="AQ187" s="27" t="s">
        <v>68</v>
      </c>
      <c r="AV187" s="25">
        <f t="shared" si="196"/>
        <v>0</v>
      </c>
      <c r="AW187" s="25">
        <f t="shared" si="197"/>
        <v>0</v>
      </c>
      <c r="AX187" s="25">
        <f t="shared" si="198"/>
        <v>0</v>
      </c>
      <c r="AY187" s="27" t="s">
        <v>560</v>
      </c>
      <c r="AZ187" s="27" t="s">
        <v>545</v>
      </c>
      <c r="BA187" s="11" t="s">
        <v>56</v>
      </c>
      <c r="BC187" s="25">
        <f t="shared" si="199"/>
        <v>0</v>
      </c>
      <c r="BD187" s="25">
        <f t="shared" si="200"/>
        <v>0</v>
      </c>
      <c r="BE187" s="25">
        <v>0</v>
      </c>
      <c r="BF187" s="25">
        <f>187</f>
        <v>187</v>
      </c>
      <c r="BH187" s="25">
        <f t="shared" si="201"/>
        <v>0</v>
      </c>
      <c r="BI187" s="25">
        <f t="shared" si="202"/>
        <v>0</v>
      </c>
      <c r="BJ187" s="25">
        <f t="shared" si="203"/>
        <v>0</v>
      </c>
      <c r="BK187" s="27" t="s">
        <v>57</v>
      </c>
      <c r="BL187" s="25">
        <v>713</v>
      </c>
      <c r="BW187" s="25">
        <v>21</v>
      </c>
      <c r="BX187" s="5" t="s">
        <v>578</v>
      </c>
    </row>
    <row r="188" spans="1:76" x14ac:dyDescent="0.25">
      <c r="A188" s="28" t="s">
        <v>46</v>
      </c>
      <c r="B188" s="29" t="s">
        <v>579</v>
      </c>
      <c r="C188" s="150" t="s">
        <v>580</v>
      </c>
      <c r="D188" s="151"/>
      <c r="E188" s="30" t="s">
        <v>4</v>
      </c>
      <c r="F188" s="30" t="s">
        <v>4</v>
      </c>
      <c r="G188" s="30" t="s">
        <v>4</v>
      </c>
      <c r="H188" s="1">
        <f>ROUND(SUM(H189:H272),1)</f>
        <v>0</v>
      </c>
      <c r="I188" s="1">
        <f>ROUND(SUM(I189:I272),1)</f>
        <v>0</v>
      </c>
      <c r="J188" s="1">
        <f>ROUND(SUM(J189:J272),1)</f>
        <v>0</v>
      </c>
      <c r="K188" s="31" t="s">
        <v>46</v>
      </c>
      <c r="AI188" s="11" t="s">
        <v>46</v>
      </c>
      <c r="AS188" s="1">
        <f>SUM(AJ189:AJ272)</f>
        <v>0</v>
      </c>
      <c r="AT188" s="1">
        <f>SUM(AK189:AK272)</f>
        <v>0</v>
      </c>
      <c r="AU188" s="1">
        <f>SUM(AL189:AL272)</f>
        <v>0</v>
      </c>
    </row>
    <row r="189" spans="1:76" x14ac:dyDescent="0.25">
      <c r="A189" s="2" t="s">
        <v>581</v>
      </c>
      <c r="B189" s="3" t="s">
        <v>582</v>
      </c>
      <c r="C189" s="93" t="s">
        <v>583</v>
      </c>
      <c r="D189" s="94"/>
      <c r="E189" s="3" t="s">
        <v>131</v>
      </c>
      <c r="F189" s="25">
        <v>90.84</v>
      </c>
      <c r="G189" s="25">
        <v>0</v>
      </c>
      <c r="H189" s="25">
        <f t="shared" ref="H189:H220" si="204">ROUND(F189*AO189,2)</f>
        <v>0</v>
      </c>
      <c r="I189" s="25">
        <f t="shared" ref="I189:I220" si="205">ROUND(F189*AP189,2)</f>
        <v>0</v>
      </c>
      <c r="J189" s="25">
        <f t="shared" ref="J189:J220" si="206">ROUND(F189*G189,1)</f>
        <v>0</v>
      </c>
      <c r="K189" s="26" t="s">
        <v>53</v>
      </c>
      <c r="Z189" s="25">
        <f t="shared" ref="Z189:Z220" si="207">ROUND(IF(AQ189="5",BJ189,0),2)</f>
        <v>0</v>
      </c>
      <c r="AB189" s="25">
        <f t="shared" ref="AB189:AB220" si="208">ROUND(IF(AQ189="1",BH189,0),2)</f>
        <v>0</v>
      </c>
      <c r="AC189" s="25">
        <f t="shared" ref="AC189:AC220" si="209">ROUND(IF(AQ189="1",BI189,0),2)</f>
        <v>0</v>
      </c>
      <c r="AD189" s="25">
        <f t="shared" ref="AD189:AD220" si="210">ROUND(IF(AQ189="7",BH189,0),2)</f>
        <v>0</v>
      </c>
      <c r="AE189" s="25">
        <f t="shared" ref="AE189:AE220" si="211">ROUND(IF(AQ189="7",BI189,0),2)</f>
        <v>0</v>
      </c>
      <c r="AF189" s="25">
        <f t="shared" ref="AF189:AF220" si="212">ROUND(IF(AQ189="2",BH189,0),2)</f>
        <v>0</v>
      </c>
      <c r="AG189" s="25">
        <f t="shared" ref="AG189:AG220" si="213">ROUND(IF(AQ189="2",BI189,0),2)</f>
        <v>0</v>
      </c>
      <c r="AH189" s="25">
        <f t="shared" ref="AH189:AH220" si="214">ROUND(IF(AQ189="0",BJ189,0),2)</f>
        <v>0</v>
      </c>
      <c r="AI189" s="11" t="s">
        <v>46</v>
      </c>
      <c r="AJ189" s="25">
        <f t="shared" ref="AJ189:AJ220" si="215">IF(AN189=0,J189,0)</f>
        <v>0</v>
      </c>
      <c r="AK189" s="25">
        <f t="shared" ref="AK189:AK220" si="216">IF(AN189=12,J189,0)</f>
        <v>0</v>
      </c>
      <c r="AL189" s="25">
        <f t="shared" ref="AL189:AL220" si="217">IF(AN189=21,J189,0)</f>
        <v>0</v>
      </c>
      <c r="AN189" s="25">
        <v>21</v>
      </c>
      <c r="AO189" s="25">
        <f t="shared" ref="AO189:AO198" si="218">G189*0</f>
        <v>0</v>
      </c>
      <c r="AP189" s="25">
        <f t="shared" ref="AP189:AP198" si="219">G189*(1-0)</f>
        <v>0</v>
      </c>
      <c r="AQ189" s="27" t="s">
        <v>76</v>
      </c>
      <c r="AV189" s="25">
        <f t="shared" ref="AV189:AV220" si="220">ROUND(AW189+AX189,2)</f>
        <v>0</v>
      </c>
      <c r="AW189" s="25">
        <f t="shared" ref="AW189:AW220" si="221">ROUND(F189*AO189,2)</f>
        <v>0</v>
      </c>
      <c r="AX189" s="25">
        <f t="shared" ref="AX189:AX220" si="222">ROUND(F189*AP189,2)</f>
        <v>0</v>
      </c>
      <c r="AY189" s="27" t="s">
        <v>584</v>
      </c>
      <c r="AZ189" s="27" t="s">
        <v>585</v>
      </c>
      <c r="BA189" s="11" t="s">
        <v>56</v>
      </c>
      <c r="BC189" s="25">
        <f t="shared" ref="BC189:BC220" si="223">AW189+AX189</f>
        <v>0</v>
      </c>
      <c r="BD189" s="25">
        <f t="shared" ref="BD189:BD220" si="224">G189/(100-BE189)*100</f>
        <v>0</v>
      </c>
      <c r="BE189" s="25">
        <v>0</v>
      </c>
      <c r="BF189" s="25">
        <f>189</f>
        <v>189</v>
      </c>
      <c r="BH189" s="25">
        <f t="shared" ref="BH189:BH220" si="225">F189*AO189</f>
        <v>0</v>
      </c>
      <c r="BI189" s="25">
        <f t="shared" ref="BI189:BI220" si="226">F189*AP189</f>
        <v>0</v>
      </c>
      <c r="BJ189" s="25">
        <f t="shared" ref="BJ189:BJ220" si="227">F189*G189</f>
        <v>0</v>
      </c>
      <c r="BK189" s="27" t="s">
        <v>57</v>
      </c>
      <c r="BL189" s="25">
        <v>721</v>
      </c>
      <c r="BW189" s="25">
        <v>21</v>
      </c>
      <c r="BX189" s="5" t="s">
        <v>583</v>
      </c>
    </row>
    <row r="190" spans="1:76" x14ac:dyDescent="0.25">
      <c r="A190" s="2" t="s">
        <v>586</v>
      </c>
      <c r="B190" s="3" t="s">
        <v>587</v>
      </c>
      <c r="C190" s="93" t="s">
        <v>588</v>
      </c>
      <c r="D190" s="94"/>
      <c r="E190" s="3" t="s">
        <v>52</v>
      </c>
      <c r="F190" s="25">
        <v>5</v>
      </c>
      <c r="G190" s="25">
        <v>0</v>
      </c>
      <c r="H190" s="25">
        <f t="shared" si="204"/>
        <v>0</v>
      </c>
      <c r="I190" s="25">
        <f t="shared" si="205"/>
        <v>0</v>
      </c>
      <c r="J190" s="25">
        <f t="shared" si="206"/>
        <v>0</v>
      </c>
      <c r="K190" s="26" t="s">
        <v>53</v>
      </c>
      <c r="Z190" s="25">
        <f t="shared" si="207"/>
        <v>0</v>
      </c>
      <c r="AB190" s="25">
        <f t="shared" si="208"/>
        <v>0</v>
      </c>
      <c r="AC190" s="25">
        <f t="shared" si="209"/>
        <v>0</v>
      </c>
      <c r="AD190" s="25">
        <f t="shared" si="210"/>
        <v>0</v>
      </c>
      <c r="AE190" s="25">
        <f t="shared" si="211"/>
        <v>0</v>
      </c>
      <c r="AF190" s="25">
        <f t="shared" si="212"/>
        <v>0</v>
      </c>
      <c r="AG190" s="25">
        <f t="shared" si="213"/>
        <v>0</v>
      </c>
      <c r="AH190" s="25">
        <f t="shared" si="214"/>
        <v>0</v>
      </c>
      <c r="AI190" s="11" t="s">
        <v>46</v>
      </c>
      <c r="AJ190" s="25">
        <f t="shared" si="215"/>
        <v>0</v>
      </c>
      <c r="AK190" s="25">
        <f t="shared" si="216"/>
        <v>0</v>
      </c>
      <c r="AL190" s="25">
        <f t="shared" si="217"/>
        <v>0</v>
      </c>
      <c r="AN190" s="25">
        <v>21</v>
      </c>
      <c r="AO190" s="25">
        <f t="shared" si="218"/>
        <v>0</v>
      </c>
      <c r="AP190" s="25">
        <f t="shared" si="219"/>
        <v>0</v>
      </c>
      <c r="AQ190" s="27" t="s">
        <v>76</v>
      </c>
      <c r="AV190" s="25">
        <f t="shared" si="220"/>
        <v>0</v>
      </c>
      <c r="AW190" s="25">
        <f t="shared" si="221"/>
        <v>0</v>
      </c>
      <c r="AX190" s="25">
        <f t="shared" si="222"/>
        <v>0</v>
      </c>
      <c r="AY190" s="27" t="s">
        <v>584</v>
      </c>
      <c r="AZ190" s="27" t="s">
        <v>585</v>
      </c>
      <c r="BA190" s="11" t="s">
        <v>56</v>
      </c>
      <c r="BC190" s="25">
        <f t="shared" si="223"/>
        <v>0</v>
      </c>
      <c r="BD190" s="25">
        <f t="shared" si="224"/>
        <v>0</v>
      </c>
      <c r="BE190" s="25">
        <v>0</v>
      </c>
      <c r="BF190" s="25">
        <f>190</f>
        <v>190</v>
      </c>
      <c r="BH190" s="25">
        <f t="shared" si="225"/>
        <v>0</v>
      </c>
      <c r="BI190" s="25">
        <f t="shared" si="226"/>
        <v>0</v>
      </c>
      <c r="BJ190" s="25">
        <f t="shared" si="227"/>
        <v>0</v>
      </c>
      <c r="BK190" s="27" t="s">
        <v>57</v>
      </c>
      <c r="BL190" s="25">
        <v>721</v>
      </c>
      <c r="BW190" s="25">
        <v>21</v>
      </c>
      <c r="BX190" s="5" t="s">
        <v>588</v>
      </c>
    </row>
    <row r="191" spans="1:76" x14ac:dyDescent="0.25">
      <c r="A191" s="2" t="s">
        <v>589</v>
      </c>
      <c r="B191" s="3" t="s">
        <v>590</v>
      </c>
      <c r="C191" s="93" t="s">
        <v>591</v>
      </c>
      <c r="D191" s="94"/>
      <c r="E191" s="3" t="s">
        <v>52</v>
      </c>
      <c r="F191" s="25">
        <v>21</v>
      </c>
      <c r="G191" s="25">
        <v>0</v>
      </c>
      <c r="H191" s="25">
        <f t="shared" si="204"/>
        <v>0</v>
      </c>
      <c r="I191" s="25">
        <f t="shared" si="205"/>
        <v>0</v>
      </c>
      <c r="J191" s="25">
        <f t="shared" si="206"/>
        <v>0</v>
      </c>
      <c r="K191" s="26" t="s">
        <v>53</v>
      </c>
      <c r="Z191" s="25">
        <f t="shared" si="207"/>
        <v>0</v>
      </c>
      <c r="AB191" s="25">
        <f t="shared" si="208"/>
        <v>0</v>
      </c>
      <c r="AC191" s="25">
        <f t="shared" si="209"/>
        <v>0</v>
      </c>
      <c r="AD191" s="25">
        <f t="shared" si="210"/>
        <v>0</v>
      </c>
      <c r="AE191" s="25">
        <f t="shared" si="211"/>
        <v>0</v>
      </c>
      <c r="AF191" s="25">
        <f t="shared" si="212"/>
        <v>0</v>
      </c>
      <c r="AG191" s="25">
        <f t="shared" si="213"/>
        <v>0</v>
      </c>
      <c r="AH191" s="25">
        <f t="shared" si="214"/>
        <v>0</v>
      </c>
      <c r="AI191" s="11" t="s">
        <v>46</v>
      </c>
      <c r="AJ191" s="25">
        <f t="shared" si="215"/>
        <v>0</v>
      </c>
      <c r="AK191" s="25">
        <f t="shared" si="216"/>
        <v>0</v>
      </c>
      <c r="AL191" s="25">
        <f t="shared" si="217"/>
        <v>0</v>
      </c>
      <c r="AN191" s="25">
        <v>21</v>
      </c>
      <c r="AO191" s="25">
        <f t="shared" si="218"/>
        <v>0</v>
      </c>
      <c r="AP191" s="25">
        <f t="shared" si="219"/>
        <v>0</v>
      </c>
      <c r="AQ191" s="27" t="s">
        <v>76</v>
      </c>
      <c r="AV191" s="25">
        <f t="shared" si="220"/>
        <v>0</v>
      </c>
      <c r="AW191" s="25">
        <f t="shared" si="221"/>
        <v>0</v>
      </c>
      <c r="AX191" s="25">
        <f t="shared" si="222"/>
        <v>0</v>
      </c>
      <c r="AY191" s="27" t="s">
        <v>584</v>
      </c>
      <c r="AZ191" s="27" t="s">
        <v>585</v>
      </c>
      <c r="BA191" s="11" t="s">
        <v>56</v>
      </c>
      <c r="BC191" s="25">
        <f t="shared" si="223"/>
        <v>0</v>
      </c>
      <c r="BD191" s="25">
        <f t="shared" si="224"/>
        <v>0</v>
      </c>
      <c r="BE191" s="25">
        <v>0</v>
      </c>
      <c r="BF191" s="25">
        <f>191</f>
        <v>191</v>
      </c>
      <c r="BH191" s="25">
        <f t="shared" si="225"/>
        <v>0</v>
      </c>
      <c r="BI191" s="25">
        <f t="shared" si="226"/>
        <v>0</v>
      </c>
      <c r="BJ191" s="25">
        <f t="shared" si="227"/>
        <v>0</v>
      </c>
      <c r="BK191" s="27" t="s">
        <v>57</v>
      </c>
      <c r="BL191" s="25">
        <v>721</v>
      </c>
      <c r="BW191" s="25">
        <v>21</v>
      </c>
      <c r="BX191" s="5" t="s">
        <v>591</v>
      </c>
    </row>
    <row r="192" spans="1:76" x14ac:dyDescent="0.25">
      <c r="A192" s="2" t="s">
        <v>592</v>
      </c>
      <c r="B192" s="3" t="s">
        <v>593</v>
      </c>
      <c r="C192" s="93" t="s">
        <v>594</v>
      </c>
      <c r="D192" s="94"/>
      <c r="E192" s="3" t="s">
        <v>52</v>
      </c>
      <c r="F192" s="25">
        <v>8</v>
      </c>
      <c r="G192" s="25">
        <v>0</v>
      </c>
      <c r="H192" s="25">
        <f t="shared" si="204"/>
        <v>0</v>
      </c>
      <c r="I192" s="25">
        <f t="shared" si="205"/>
        <v>0</v>
      </c>
      <c r="J192" s="25">
        <f t="shared" si="206"/>
        <v>0</v>
      </c>
      <c r="K192" s="26" t="s">
        <v>53</v>
      </c>
      <c r="Z192" s="25">
        <f t="shared" si="207"/>
        <v>0</v>
      </c>
      <c r="AB192" s="25">
        <f t="shared" si="208"/>
        <v>0</v>
      </c>
      <c r="AC192" s="25">
        <f t="shared" si="209"/>
        <v>0</v>
      </c>
      <c r="AD192" s="25">
        <f t="shared" si="210"/>
        <v>0</v>
      </c>
      <c r="AE192" s="25">
        <f t="shared" si="211"/>
        <v>0</v>
      </c>
      <c r="AF192" s="25">
        <f t="shared" si="212"/>
        <v>0</v>
      </c>
      <c r="AG192" s="25">
        <f t="shared" si="213"/>
        <v>0</v>
      </c>
      <c r="AH192" s="25">
        <f t="shared" si="214"/>
        <v>0</v>
      </c>
      <c r="AI192" s="11" t="s">
        <v>46</v>
      </c>
      <c r="AJ192" s="25">
        <f t="shared" si="215"/>
        <v>0</v>
      </c>
      <c r="AK192" s="25">
        <f t="shared" si="216"/>
        <v>0</v>
      </c>
      <c r="AL192" s="25">
        <f t="shared" si="217"/>
        <v>0</v>
      </c>
      <c r="AN192" s="25">
        <v>21</v>
      </c>
      <c r="AO192" s="25">
        <f t="shared" si="218"/>
        <v>0</v>
      </c>
      <c r="AP192" s="25">
        <f t="shared" si="219"/>
        <v>0</v>
      </c>
      <c r="AQ192" s="27" t="s">
        <v>76</v>
      </c>
      <c r="AV192" s="25">
        <f t="shared" si="220"/>
        <v>0</v>
      </c>
      <c r="AW192" s="25">
        <f t="shared" si="221"/>
        <v>0</v>
      </c>
      <c r="AX192" s="25">
        <f t="shared" si="222"/>
        <v>0</v>
      </c>
      <c r="AY192" s="27" t="s">
        <v>584</v>
      </c>
      <c r="AZ192" s="27" t="s">
        <v>585</v>
      </c>
      <c r="BA192" s="11" t="s">
        <v>56</v>
      </c>
      <c r="BC192" s="25">
        <f t="shared" si="223"/>
        <v>0</v>
      </c>
      <c r="BD192" s="25">
        <f t="shared" si="224"/>
        <v>0</v>
      </c>
      <c r="BE192" s="25">
        <v>0</v>
      </c>
      <c r="BF192" s="25">
        <f>192</f>
        <v>192</v>
      </c>
      <c r="BH192" s="25">
        <f t="shared" si="225"/>
        <v>0</v>
      </c>
      <c r="BI192" s="25">
        <f t="shared" si="226"/>
        <v>0</v>
      </c>
      <c r="BJ192" s="25">
        <f t="shared" si="227"/>
        <v>0</v>
      </c>
      <c r="BK192" s="27" t="s">
        <v>57</v>
      </c>
      <c r="BL192" s="25">
        <v>721</v>
      </c>
      <c r="BW192" s="25">
        <v>21</v>
      </c>
      <c r="BX192" s="5" t="s">
        <v>594</v>
      </c>
    </row>
    <row r="193" spans="1:76" x14ac:dyDescent="0.25">
      <c r="A193" s="2" t="s">
        <v>595</v>
      </c>
      <c r="B193" s="3" t="s">
        <v>596</v>
      </c>
      <c r="C193" s="93" t="s">
        <v>597</v>
      </c>
      <c r="D193" s="94"/>
      <c r="E193" s="3" t="s">
        <v>52</v>
      </c>
      <c r="F193" s="25">
        <v>1</v>
      </c>
      <c r="G193" s="25">
        <v>0</v>
      </c>
      <c r="H193" s="25">
        <f t="shared" si="204"/>
        <v>0</v>
      </c>
      <c r="I193" s="25">
        <f t="shared" si="205"/>
        <v>0</v>
      </c>
      <c r="J193" s="25">
        <f t="shared" si="206"/>
        <v>0</v>
      </c>
      <c r="K193" s="26" t="s">
        <v>53</v>
      </c>
      <c r="Z193" s="25">
        <f t="shared" si="207"/>
        <v>0</v>
      </c>
      <c r="AB193" s="25">
        <f t="shared" si="208"/>
        <v>0</v>
      </c>
      <c r="AC193" s="25">
        <f t="shared" si="209"/>
        <v>0</v>
      </c>
      <c r="AD193" s="25">
        <f t="shared" si="210"/>
        <v>0</v>
      </c>
      <c r="AE193" s="25">
        <f t="shared" si="211"/>
        <v>0</v>
      </c>
      <c r="AF193" s="25">
        <f t="shared" si="212"/>
        <v>0</v>
      </c>
      <c r="AG193" s="25">
        <f t="shared" si="213"/>
        <v>0</v>
      </c>
      <c r="AH193" s="25">
        <f t="shared" si="214"/>
        <v>0</v>
      </c>
      <c r="AI193" s="11" t="s">
        <v>46</v>
      </c>
      <c r="AJ193" s="25">
        <f t="shared" si="215"/>
        <v>0</v>
      </c>
      <c r="AK193" s="25">
        <f t="shared" si="216"/>
        <v>0</v>
      </c>
      <c r="AL193" s="25">
        <f t="shared" si="217"/>
        <v>0</v>
      </c>
      <c r="AN193" s="25">
        <v>21</v>
      </c>
      <c r="AO193" s="25">
        <f t="shared" si="218"/>
        <v>0</v>
      </c>
      <c r="AP193" s="25">
        <f t="shared" si="219"/>
        <v>0</v>
      </c>
      <c r="AQ193" s="27" t="s">
        <v>76</v>
      </c>
      <c r="AV193" s="25">
        <f t="shared" si="220"/>
        <v>0</v>
      </c>
      <c r="AW193" s="25">
        <f t="shared" si="221"/>
        <v>0</v>
      </c>
      <c r="AX193" s="25">
        <f t="shared" si="222"/>
        <v>0</v>
      </c>
      <c r="AY193" s="27" t="s">
        <v>584</v>
      </c>
      <c r="AZ193" s="27" t="s">
        <v>585</v>
      </c>
      <c r="BA193" s="11" t="s">
        <v>56</v>
      </c>
      <c r="BC193" s="25">
        <f t="shared" si="223"/>
        <v>0</v>
      </c>
      <c r="BD193" s="25">
        <f t="shared" si="224"/>
        <v>0</v>
      </c>
      <c r="BE193" s="25">
        <v>0</v>
      </c>
      <c r="BF193" s="25">
        <f>193</f>
        <v>193</v>
      </c>
      <c r="BH193" s="25">
        <f t="shared" si="225"/>
        <v>0</v>
      </c>
      <c r="BI193" s="25">
        <f t="shared" si="226"/>
        <v>0</v>
      </c>
      <c r="BJ193" s="25">
        <f t="shared" si="227"/>
        <v>0</v>
      </c>
      <c r="BK193" s="27" t="s">
        <v>57</v>
      </c>
      <c r="BL193" s="25">
        <v>721</v>
      </c>
      <c r="BW193" s="25">
        <v>21</v>
      </c>
      <c r="BX193" s="5" t="s">
        <v>597</v>
      </c>
    </row>
    <row r="194" spans="1:76" x14ac:dyDescent="0.25">
      <c r="A194" s="2" t="s">
        <v>598</v>
      </c>
      <c r="B194" s="3" t="s">
        <v>599</v>
      </c>
      <c r="C194" s="93" t="s">
        <v>600</v>
      </c>
      <c r="D194" s="94"/>
      <c r="E194" s="3" t="s">
        <v>52</v>
      </c>
      <c r="F194" s="25">
        <v>3</v>
      </c>
      <c r="G194" s="25">
        <v>0</v>
      </c>
      <c r="H194" s="25">
        <f t="shared" si="204"/>
        <v>0</v>
      </c>
      <c r="I194" s="25">
        <f t="shared" si="205"/>
        <v>0</v>
      </c>
      <c r="J194" s="25">
        <f t="shared" si="206"/>
        <v>0</v>
      </c>
      <c r="K194" s="26" t="s">
        <v>53</v>
      </c>
      <c r="Z194" s="25">
        <f t="shared" si="207"/>
        <v>0</v>
      </c>
      <c r="AB194" s="25">
        <f t="shared" si="208"/>
        <v>0</v>
      </c>
      <c r="AC194" s="25">
        <f t="shared" si="209"/>
        <v>0</v>
      </c>
      <c r="AD194" s="25">
        <f t="shared" si="210"/>
        <v>0</v>
      </c>
      <c r="AE194" s="25">
        <f t="shared" si="211"/>
        <v>0</v>
      </c>
      <c r="AF194" s="25">
        <f t="shared" si="212"/>
        <v>0</v>
      </c>
      <c r="AG194" s="25">
        <f t="shared" si="213"/>
        <v>0</v>
      </c>
      <c r="AH194" s="25">
        <f t="shared" si="214"/>
        <v>0</v>
      </c>
      <c r="AI194" s="11" t="s">
        <v>46</v>
      </c>
      <c r="AJ194" s="25">
        <f t="shared" si="215"/>
        <v>0</v>
      </c>
      <c r="AK194" s="25">
        <f t="shared" si="216"/>
        <v>0</v>
      </c>
      <c r="AL194" s="25">
        <f t="shared" si="217"/>
        <v>0</v>
      </c>
      <c r="AN194" s="25">
        <v>21</v>
      </c>
      <c r="AO194" s="25">
        <f t="shared" si="218"/>
        <v>0</v>
      </c>
      <c r="AP194" s="25">
        <f t="shared" si="219"/>
        <v>0</v>
      </c>
      <c r="AQ194" s="27" t="s">
        <v>76</v>
      </c>
      <c r="AV194" s="25">
        <f t="shared" si="220"/>
        <v>0</v>
      </c>
      <c r="AW194" s="25">
        <f t="shared" si="221"/>
        <v>0</v>
      </c>
      <c r="AX194" s="25">
        <f t="shared" si="222"/>
        <v>0</v>
      </c>
      <c r="AY194" s="27" t="s">
        <v>584</v>
      </c>
      <c r="AZ194" s="27" t="s">
        <v>585</v>
      </c>
      <c r="BA194" s="11" t="s">
        <v>56</v>
      </c>
      <c r="BC194" s="25">
        <f t="shared" si="223"/>
        <v>0</v>
      </c>
      <c r="BD194" s="25">
        <f t="shared" si="224"/>
        <v>0</v>
      </c>
      <c r="BE194" s="25">
        <v>0</v>
      </c>
      <c r="BF194" s="25">
        <f>194</f>
        <v>194</v>
      </c>
      <c r="BH194" s="25">
        <f t="shared" si="225"/>
        <v>0</v>
      </c>
      <c r="BI194" s="25">
        <f t="shared" si="226"/>
        <v>0</v>
      </c>
      <c r="BJ194" s="25">
        <f t="shared" si="227"/>
        <v>0</v>
      </c>
      <c r="BK194" s="27" t="s">
        <v>57</v>
      </c>
      <c r="BL194" s="25">
        <v>721</v>
      </c>
      <c r="BW194" s="25">
        <v>21</v>
      </c>
      <c r="BX194" s="5" t="s">
        <v>600</v>
      </c>
    </row>
    <row r="195" spans="1:76" x14ac:dyDescent="0.25">
      <c r="A195" s="2" t="s">
        <v>601</v>
      </c>
      <c r="B195" s="3" t="s">
        <v>602</v>
      </c>
      <c r="C195" s="93" t="s">
        <v>603</v>
      </c>
      <c r="D195" s="94"/>
      <c r="E195" s="3" t="s">
        <v>52</v>
      </c>
      <c r="F195" s="25">
        <v>2</v>
      </c>
      <c r="G195" s="25">
        <v>0</v>
      </c>
      <c r="H195" s="25">
        <f t="shared" si="204"/>
        <v>0</v>
      </c>
      <c r="I195" s="25">
        <f t="shared" si="205"/>
        <v>0</v>
      </c>
      <c r="J195" s="25">
        <f t="shared" si="206"/>
        <v>0</v>
      </c>
      <c r="K195" s="26" t="s">
        <v>53</v>
      </c>
      <c r="Z195" s="25">
        <f t="shared" si="207"/>
        <v>0</v>
      </c>
      <c r="AB195" s="25">
        <f t="shared" si="208"/>
        <v>0</v>
      </c>
      <c r="AC195" s="25">
        <f t="shared" si="209"/>
        <v>0</v>
      </c>
      <c r="AD195" s="25">
        <f t="shared" si="210"/>
        <v>0</v>
      </c>
      <c r="AE195" s="25">
        <f t="shared" si="211"/>
        <v>0</v>
      </c>
      <c r="AF195" s="25">
        <f t="shared" si="212"/>
        <v>0</v>
      </c>
      <c r="AG195" s="25">
        <f t="shared" si="213"/>
        <v>0</v>
      </c>
      <c r="AH195" s="25">
        <f t="shared" si="214"/>
        <v>0</v>
      </c>
      <c r="AI195" s="11" t="s">
        <v>46</v>
      </c>
      <c r="AJ195" s="25">
        <f t="shared" si="215"/>
        <v>0</v>
      </c>
      <c r="AK195" s="25">
        <f t="shared" si="216"/>
        <v>0</v>
      </c>
      <c r="AL195" s="25">
        <f t="shared" si="217"/>
        <v>0</v>
      </c>
      <c r="AN195" s="25">
        <v>21</v>
      </c>
      <c r="AO195" s="25">
        <f t="shared" si="218"/>
        <v>0</v>
      </c>
      <c r="AP195" s="25">
        <f t="shared" si="219"/>
        <v>0</v>
      </c>
      <c r="AQ195" s="27" t="s">
        <v>76</v>
      </c>
      <c r="AV195" s="25">
        <f t="shared" si="220"/>
        <v>0</v>
      </c>
      <c r="AW195" s="25">
        <f t="shared" si="221"/>
        <v>0</v>
      </c>
      <c r="AX195" s="25">
        <f t="shared" si="222"/>
        <v>0</v>
      </c>
      <c r="AY195" s="27" t="s">
        <v>584</v>
      </c>
      <c r="AZ195" s="27" t="s">
        <v>585</v>
      </c>
      <c r="BA195" s="11" t="s">
        <v>56</v>
      </c>
      <c r="BC195" s="25">
        <f t="shared" si="223"/>
        <v>0</v>
      </c>
      <c r="BD195" s="25">
        <f t="shared" si="224"/>
        <v>0</v>
      </c>
      <c r="BE195" s="25">
        <v>0</v>
      </c>
      <c r="BF195" s="25">
        <f>195</f>
        <v>195</v>
      </c>
      <c r="BH195" s="25">
        <f t="shared" si="225"/>
        <v>0</v>
      </c>
      <c r="BI195" s="25">
        <f t="shared" si="226"/>
        <v>0</v>
      </c>
      <c r="BJ195" s="25">
        <f t="shared" si="227"/>
        <v>0</v>
      </c>
      <c r="BK195" s="27" t="s">
        <v>57</v>
      </c>
      <c r="BL195" s="25">
        <v>721</v>
      </c>
      <c r="BW195" s="25">
        <v>21</v>
      </c>
      <c r="BX195" s="5" t="s">
        <v>603</v>
      </c>
    </row>
    <row r="196" spans="1:76" x14ac:dyDescent="0.25">
      <c r="A196" s="2" t="s">
        <v>604</v>
      </c>
      <c r="B196" s="3" t="s">
        <v>605</v>
      </c>
      <c r="C196" s="93" t="s">
        <v>606</v>
      </c>
      <c r="D196" s="94"/>
      <c r="E196" s="3" t="s">
        <v>52</v>
      </c>
      <c r="F196" s="25">
        <v>8</v>
      </c>
      <c r="G196" s="25">
        <v>0</v>
      </c>
      <c r="H196" s="25">
        <f t="shared" si="204"/>
        <v>0</v>
      </c>
      <c r="I196" s="25">
        <f t="shared" si="205"/>
        <v>0</v>
      </c>
      <c r="J196" s="25">
        <f t="shared" si="206"/>
        <v>0</v>
      </c>
      <c r="K196" s="26" t="s">
        <v>53</v>
      </c>
      <c r="Z196" s="25">
        <f t="shared" si="207"/>
        <v>0</v>
      </c>
      <c r="AB196" s="25">
        <f t="shared" si="208"/>
        <v>0</v>
      </c>
      <c r="AC196" s="25">
        <f t="shared" si="209"/>
        <v>0</v>
      </c>
      <c r="AD196" s="25">
        <f t="shared" si="210"/>
        <v>0</v>
      </c>
      <c r="AE196" s="25">
        <f t="shared" si="211"/>
        <v>0</v>
      </c>
      <c r="AF196" s="25">
        <f t="shared" si="212"/>
        <v>0</v>
      </c>
      <c r="AG196" s="25">
        <f t="shared" si="213"/>
        <v>0</v>
      </c>
      <c r="AH196" s="25">
        <f t="shared" si="214"/>
        <v>0</v>
      </c>
      <c r="AI196" s="11" t="s">
        <v>46</v>
      </c>
      <c r="AJ196" s="25">
        <f t="shared" si="215"/>
        <v>0</v>
      </c>
      <c r="AK196" s="25">
        <f t="shared" si="216"/>
        <v>0</v>
      </c>
      <c r="AL196" s="25">
        <f t="shared" si="217"/>
        <v>0</v>
      </c>
      <c r="AN196" s="25">
        <v>21</v>
      </c>
      <c r="AO196" s="25">
        <f t="shared" si="218"/>
        <v>0</v>
      </c>
      <c r="AP196" s="25">
        <f t="shared" si="219"/>
        <v>0</v>
      </c>
      <c r="AQ196" s="27" t="s">
        <v>76</v>
      </c>
      <c r="AV196" s="25">
        <f t="shared" si="220"/>
        <v>0</v>
      </c>
      <c r="AW196" s="25">
        <f t="shared" si="221"/>
        <v>0</v>
      </c>
      <c r="AX196" s="25">
        <f t="shared" si="222"/>
        <v>0</v>
      </c>
      <c r="AY196" s="27" t="s">
        <v>584</v>
      </c>
      <c r="AZ196" s="27" t="s">
        <v>585</v>
      </c>
      <c r="BA196" s="11" t="s">
        <v>56</v>
      </c>
      <c r="BC196" s="25">
        <f t="shared" si="223"/>
        <v>0</v>
      </c>
      <c r="BD196" s="25">
        <f t="shared" si="224"/>
        <v>0</v>
      </c>
      <c r="BE196" s="25">
        <v>0</v>
      </c>
      <c r="BF196" s="25">
        <f>196</f>
        <v>196</v>
      </c>
      <c r="BH196" s="25">
        <f t="shared" si="225"/>
        <v>0</v>
      </c>
      <c r="BI196" s="25">
        <f t="shared" si="226"/>
        <v>0</v>
      </c>
      <c r="BJ196" s="25">
        <f t="shared" si="227"/>
        <v>0</v>
      </c>
      <c r="BK196" s="27" t="s">
        <v>57</v>
      </c>
      <c r="BL196" s="25">
        <v>721</v>
      </c>
      <c r="BW196" s="25">
        <v>21</v>
      </c>
      <c r="BX196" s="5" t="s">
        <v>606</v>
      </c>
    </row>
    <row r="197" spans="1:76" x14ac:dyDescent="0.25">
      <c r="A197" s="2" t="s">
        <v>607</v>
      </c>
      <c r="B197" s="3" t="s">
        <v>608</v>
      </c>
      <c r="C197" s="93" t="s">
        <v>609</v>
      </c>
      <c r="D197" s="94"/>
      <c r="E197" s="3" t="s">
        <v>52</v>
      </c>
      <c r="F197" s="25">
        <v>1</v>
      </c>
      <c r="G197" s="25">
        <v>0</v>
      </c>
      <c r="H197" s="25">
        <f t="shared" si="204"/>
        <v>0</v>
      </c>
      <c r="I197" s="25">
        <f t="shared" si="205"/>
        <v>0</v>
      </c>
      <c r="J197" s="25">
        <f t="shared" si="206"/>
        <v>0</v>
      </c>
      <c r="K197" s="26" t="s">
        <v>53</v>
      </c>
      <c r="Z197" s="25">
        <f t="shared" si="207"/>
        <v>0</v>
      </c>
      <c r="AB197" s="25">
        <f t="shared" si="208"/>
        <v>0</v>
      </c>
      <c r="AC197" s="25">
        <f t="shared" si="209"/>
        <v>0</v>
      </c>
      <c r="AD197" s="25">
        <f t="shared" si="210"/>
        <v>0</v>
      </c>
      <c r="AE197" s="25">
        <f t="shared" si="211"/>
        <v>0</v>
      </c>
      <c r="AF197" s="25">
        <f t="shared" si="212"/>
        <v>0</v>
      </c>
      <c r="AG197" s="25">
        <f t="shared" si="213"/>
        <v>0</v>
      </c>
      <c r="AH197" s="25">
        <f t="shared" si="214"/>
        <v>0</v>
      </c>
      <c r="AI197" s="11" t="s">
        <v>46</v>
      </c>
      <c r="AJ197" s="25">
        <f t="shared" si="215"/>
        <v>0</v>
      </c>
      <c r="AK197" s="25">
        <f t="shared" si="216"/>
        <v>0</v>
      </c>
      <c r="AL197" s="25">
        <f t="shared" si="217"/>
        <v>0</v>
      </c>
      <c r="AN197" s="25">
        <v>21</v>
      </c>
      <c r="AO197" s="25">
        <f t="shared" si="218"/>
        <v>0</v>
      </c>
      <c r="AP197" s="25">
        <f t="shared" si="219"/>
        <v>0</v>
      </c>
      <c r="AQ197" s="27" t="s">
        <v>76</v>
      </c>
      <c r="AV197" s="25">
        <f t="shared" si="220"/>
        <v>0</v>
      </c>
      <c r="AW197" s="25">
        <f t="shared" si="221"/>
        <v>0</v>
      </c>
      <c r="AX197" s="25">
        <f t="shared" si="222"/>
        <v>0</v>
      </c>
      <c r="AY197" s="27" t="s">
        <v>584</v>
      </c>
      <c r="AZ197" s="27" t="s">
        <v>585</v>
      </c>
      <c r="BA197" s="11" t="s">
        <v>56</v>
      </c>
      <c r="BC197" s="25">
        <f t="shared" si="223"/>
        <v>0</v>
      </c>
      <c r="BD197" s="25">
        <f t="shared" si="224"/>
        <v>0</v>
      </c>
      <c r="BE197" s="25">
        <v>0</v>
      </c>
      <c r="BF197" s="25">
        <f>197</f>
        <v>197</v>
      </c>
      <c r="BH197" s="25">
        <f t="shared" si="225"/>
        <v>0</v>
      </c>
      <c r="BI197" s="25">
        <f t="shared" si="226"/>
        <v>0</v>
      </c>
      <c r="BJ197" s="25">
        <f t="shared" si="227"/>
        <v>0</v>
      </c>
      <c r="BK197" s="27" t="s">
        <v>57</v>
      </c>
      <c r="BL197" s="25">
        <v>721</v>
      </c>
      <c r="BW197" s="25">
        <v>21</v>
      </c>
      <c r="BX197" s="5" t="s">
        <v>609</v>
      </c>
    </row>
    <row r="198" spans="1:76" ht="25.5" x14ac:dyDescent="0.25">
      <c r="A198" s="2" t="s">
        <v>610</v>
      </c>
      <c r="B198" s="3" t="s">
        <v>611</v>
      </c>
      <c r="C198" s="93" t="s">
        <v>612</v>
      </c>
      <c r="D198" s="94"/>
      <c r="E198" s="3" t="s">
        <v>52</v>
      </c>
      <c r="F198" s="25">
        <v>2</v>
      </c>
      <c r="G198" s="25">
        <v>0</v>
      </c>
      <c r="H198" s="25">
        <f t="shared" si="204"/>
        <v>0</v>
      </c>
      <c r="I198" s="25">
        <f t="shared" si="205"/>
        <v>0</v>
      </c>
      <c r="J198" s="25">
        <f t="shared" si="206"/>
        <v>0</v>
      </c>
      <c r="K198" s="26" t="s">
        <v>53</v>
      </c>
      <c r="Z198" s="25">
        <f t="shared" si="207"/>
        <v>0</v>
      </c>
      <c r="AB198" s="25">
        <f t="shared" si="208"/>
        <v>0</v>
      </c>
      <c r="AC198" s="25">
        <f t="shared" si="209"/>
        <v>0</v>
      </c>
      <c r="AD198" s="25">
        <f t="shared" si="210"/>
        <v>0</v>
      </c>
      <c r="AE198" s="25">
        <f t="shared" si="211"/>
        <v>0</v>
      </c>
      <c r="AF198" s="25">
        <f t="shared" si="212"/>
        <v>0</v>
      </c>
      <c r="AG198" s="25">
        <f t="shared" si="213"/>
        <v>0</v>
      </c>
      <c r="AH198" s="25">
        <f t="shared" si="214"/>
        <v>0</v>
      </c>
      <c r="AI198" s="11" t="s">
        <v>46</v>
      </c>
      <c r="AJ198" s="25">
        <f t="shared" si="215"/>
        <v>0</v>
      </c>
      <c r="AK198" s="25">
        <f t="shared" si="216"/>
        <v>0</v>
      </c>
      <c r="AL198" s="25">
        <f t="shared" si="217"/>
        <v>0</v>
      </c>
      <c r="AN198" s="25">
        <v>21</v>
      </c>
      <c r="AO198" s="25">
        <f t="shared" si="218"/>
        <v>0</v>
      </c>
      <c r="AP198" s="25">
        <f t="shared" si="219"/>
        <v>0</v>
      </c>
      <c r="AQ198" s="27" t="s">
        <v>76</v>
      </c>
      <c r="AV198" s="25">
        <f t="shared" si="220"/>
        <v>0</v>
      </c>
      <c r="AW198" s="25">
        <f t="shared" si="221"/>
        <v>0</v>
      </c>
      <c r="AX198" s="25">
        <f t="shared" si="222"/>
        <v>0</v>
      </c>
      <c r="AY198" s="27" t="s">
        <v>584</v>
      </c>
      <c r="AZ198" s="27" t="s">
        <v>585</v>
      </c>
      <c r="BA198" s="11" t="s">
        <v>56</v>
      </c>
      <c r="BC198" s="25">
        <f t="shared" si="223"/>
        <v>0</v>
      </c>
      <c r="BD198" s="25">
        <f t="shared" si="224"/>
        <v>0</v>
      </c>
      <c r="BE198" s="25">
        <v>0</v>
      </c>
      <c r="BF198" s="25">
        <f>198</f>
        <v>198</v>
      </c>
      <c r="BH198" s="25">
        <f t="shared" si="225"/>
        <v>0</v>
      </c>
      <c r="BI198" s="25">
        <f t="shared" si="226"/>
        <v>0</v>
      </c>
      <c r="BJ198" s="25">
        <f t="shared" si="227"/>
        <v>0</v>
      </c>
      <c r="BK198" s="27" t="s">
        <v>57</v>
      </c>
      <c r="BL198" s="25">
        <v>721</v>
      </c>
      <c r="BW198" s="25">
        <v>21</v>
      </c>
      <c r="BX198" s="5" t="s">
        <v>612</v>
      </c>
    </row>
    <row r="199" spans="1:76" x14ac:dyDescent="0.25">
      <c r="A199" s="2" t="s">
        <v>613</v>
      </c>
      <c r="B199" s="3" t="s">
        <v>614</v>
      </c>
      <c r="C199" s="93" t="s">
        <v>615</v>
      </c>
      <c r="D199" s="94"/>
      <c r="E199" s="3" t="s">
        <v>131</v>
      </c>
      <c r="F199" s="25">
        <v>53.94</v>
      </c>
      <c r="G199" s="25">
        <v>0</v>
      </c>
      <c r="H199" s="25">
        <f t="shared" si="204"/>
        <v>0</v>
      </c>
      <c r="I199" s="25">
        <f t="shared" si="205"/>
        <v>0</v>
      </c>
      <c r="J199" s="25">
        <f t="shared" si="206"/>
        <v>0</v>
      </c>
      <c r="K199" s="26" t="s">
        <v>53</v>
      </c>
      <c r="Z199" s="25">
        <f t="shared" si="207"/>
        <v>0</v>
      </c>
      <c r="AB199" s="25">
        <f t="shared" si="208"/>
        <v>0</v>
      </c>
      <c r="AC199" s="25">
        <f t="shared" si="209"/>
        <v>0</v>
      </c>
      <c r="AD199" s="25">
        <f t="shared" si="210"/>
        <v>0</v>
      </c>
      <c r="AE199" s="25">
        <f t="shared" si="211"/>
        <v>0</v>
      </c>
      <c r="AF199" s="25">
        <f t="shared" si="212"/>
        <v>0</v>
      </c>
      <c r="AG199" s="25">
        <f t="shared" si="213"/>
        <v>0</v>
      </c>
      <c r="AH199" s="25">
        <f t="shared" si="214"/>
        <v>0</v>
      </c>
      <c r="AI199" s="11" t="s">
        <v>46</v>
      </c>
      <c r="AJ199" s="25">
        <f t="shared" si="215"/>
        <v>0</v>
      </c>
      <c r="AK199" s="25">
        <f t="shared" si="216"/>
        <v>0</v>
      </c>
      <c r="AL199" s="25">
        <f t="shared" si="217"/>
        <v>0</v>
      </c>
      <c r="AN199" s="25">
        <v>21</v>
      </c>
      <c r="AO199" s="25">
        <f>G199*0.520000329</f>
        <v>0</v>
      </c>
      <c r="AP199" s="25">
        <f>G199*(1-0.520000329)</f>
        <v>0</v>
      </c>
      <c r="AQ199" s="27" t="s">
        <v>76</v>
      </c>
      <c r="AV199" s="25">
        <f t="shared" si="220"/>
        <v>0</v>
      </c>
      <c r="AW199" s="25">
        <f t="shared" si="221"/>
        <v>0</v>
      </c>
      <c r="AX199" s="25">
        <f t="shared" si="222"/>
        <v>0</v>
      </c>
      <c r="AY199" s="27" t="s">
        <v>584</v>
      </c>
      <c r="AZ199" s="27" t="s">
        <v>585</v>
      </c>
      <c r="BA199" s="11" t="s">
        <v>56</v>
      </c>
      <c r="BC199" s="25">
        <f t="shared" si="223"/>
        <v>0</v>
      </c>
      <c r="BD199" s="25">
        <f t="shared" si="224"/>
        <v>0</v>
      </c>
      <c r="BE199" s="25">
        <v>0</v>
      </c>
      <c r="BF199" s="25">
        <f>199</f>
        <v>199</v>
      </c>
      <c r="BH199" s="25">
        <f t="shared" si="225"/>
        <v>0</v>
      </c>
      <c r="BI199" s="25">
        <f t="shared" si="226"/>
        <v>0</v>
      </c>
      <c r="BJ199" s="25">
        <f t="shared" si="227"/>
        <v>0</v>
      </c>
      <c r="BK199" s="27" t="s">
        <v>57</v>
      </c>
      <c r="BL199" s="25">
        <v>721</v>
      </c>
      <c r="BW199" s="25">
        <v>21</v>
      </c>
      <c r="BX199" s="5" t="s">
        <v>615</v>
      </c>
    </row>
    <row r="200" spans="1:76" x14ac:dyDescent="0.25">
      <c r="A200" s="2" t="s">
        <v>616</v>
      </c>
      <c r="B200" s="3" t="s">
        <v>617</v>
      </c>
      <c r="C200" s="93" t="s">
        <v>618</v>
      </c>
      <c r="D200" s="94"/>
      <c r="E200" s="3" t="s">
        <v>131</v>
      </c>
      <c r="F200" s="25">
        <v>24.5</v>
      </c>
      <c r="G200" s="25">
        <v>0</v>
      </c>
      <c r="H200" s="25">
        <f t="shared" si="204"/>
        <v>0</v>
      </c>
      <c r="I200" s="25">
        <f t="shared" si="205"/>
        <v>0</v>
      </c>
      <c r="J200" s="25">
        <f t="shared" si="206"/>
        <v>0</v>
      </c>
      <c r="K200" s="26" t="s">
        <v>53</v>
      </c>
      <c r="Z200" s="25">
        <f t="shared" si="207"/>
        <v>0</v>
      </c>
      <c r="AB200" s="25">
        <f t="shared" si="208"/>
        <v>0</v>
      </c>
      <c r="AC200" s="25">
        <f t="shared" si="209"/>
        <v>0</v>
      </c>
      <c r="AD200" s="25">
        <f t="shared" si="210"/>
        <v>0</v>
      </c>
      <c r="AE200" s="25">
        <f t="shared" si="211"/>
        <v>0</v>
      </c>
      <c r="AF200" s="25">
        <f t="shared" si="212"/>
        <v>0</v>
      </c>
      <c r="AG200" s="25">
        <f t="shared" si="213"/>
        <v>0</v>
      </c>
      <c r="AH200" s="25">
        <f t="shared" si="214"/>
        <v>0</v>
      </c>
      <c r="AI200" s="11" t="s">
        <v>46</v>
      </c>
      <c r="AJ200" s="25">
        <f t="shared" si="215"/>
        <v>0</v>
      </c>
      <c r="AK200" s="25">
        <f t="shared" si="216"/>
        <v>0</v>
      </c>
      <c r="AL200" s="25">
        <f t="shared" si="217"/>
        <v>0</v>
      </c>
      <c r="AN200" s="25">
        <v>21</v>
      </c>
      <c r="AO200" s="25">
        <f>G200*0.52</f>
        <v>0</v>
      </c>
      <c r="AP200" s="25">
        <f>G200*(1-0.52)</f>
        <v>0</v>
      </c>
      <c r="AQ200" s="27" t="s">
        <v>76</v>
      </c>
      <c r="AV200" s="25">
        <f t="shared" si="220"/>
        <v>0</v>
      </c>
      <c r="AW200" s="25">
        <f t="shared" si="221"/>
        <v>0</v>
      </c>
      <c r="AX200" s="25">
        <f t="shared" si="222"/>
        <v>0</v>
      </c>
      <c r="AY200" s="27" t="s">
        <v>584</v>
      </c>
      <c r="AZ200" s="27" t="s">
        <v>585</v>
      </c>
      <c r="BA200" s="11" t="s">
        <v>56</v>
      </c>
      <c r="BC200" s="25">
        <f t="shared" si="223"/>
        <v>0</v>
      </c>
      <c r="BD200" s="25">
        <f t="shared" si="224"/>
        <v>0</v>
      </c>
      <c r="BE200" s="25">
        <v>0</v>
      </c>
      <c r="BF200" s="25">
        <f>200</f>
        <v>200</v>
      </c>
      <c r="BH200" s="25">
        <f t="shared" si="225"/>
        <v>0</v>
      </c>
      <c r="BI200" s="25">
        <f t="shared" si="226"/>
        <v>0</v>
      </c>
      <c r="BJ200" s="25">
        <f t="shared" si="227"/>
        <v>0</v>
      </c>
      <c r="BK200" s="27" t="s">
        <v>57</v>
      </c>
      <c r="BL200" s="25">
        <v>721</v>
      </c>
      <c r="BW200" s="25">
        <v>21</v>
      </c>
      <c r="BX200" s="5" t="s">
        <v>618</v>
      </c>
    </row>
    <row r="201" spans="1:76" x14ac:dyDescent="0.25">
      <c r="A201" s="2" t="s">
        <v>619</v>
      </c>
      <c r="B201" s="3" t="s">
        <v>620</v>
      </c>
      <c r="C201" s="93" t="s">
        <v>621</v>
      </c>
      <c r="D201" s="94"/>
      <c r="E201" s="3" t="s">
        <v>131</v>
      </c>
      <c r="F201" s="25">
        <v>74.3</v>
      </c>
      <c r="G201" s="25">
        <v>0</v>
      </c>
      <c r="H201" s="25">
        <f t="shared" si="204"/>
        <v>0</v>
      </c>
      <c r="I201" s="25">
        <f t="shared" si="205"/>
        <v>0</v>
      </c>
      <c r="J201" s="25">
        <f t="shared" si="206"/>
        <v>0</v>
      </c>
      <c r="K201" s="26" t="s">
        <v>53</v>
      </c>
      <c r="Z201" s="25">
        <f t="shared" si="207"/>
        <v>0</v>
      </c>
      <c r="AB201" s="25">
        <f t="shared" si="208"/>
        <v>0</v>
      </c>
      <c r="AC201" s="25">
        <f t="shared" si="209"/>
        <v>0</v>
      </c>
      <c r="AD201" s="25">
        <f t="shared" si="210"/>
        <v>0</v>
      </c>
      <c r="AE201" s="25">
        <f t="shared" si="211"/>
        <v>0</v>
      </c>
      <c r="AF201" s="25">
        <f t="shared" si="212"/>
        <v>0</v>
      </c>
      <c r="AG201" s="25">
        <f t="shared" si="213"/>
        <v>0</v>
      </c>
      <c r="AH201" s="25">
        <f t="shared" si="214"/>
        <v>0</v>
      </c>
      <c r="AI201" s="11" t="s">
        <v>46</v>
      </c>
      <c r="AJ201" s="25">
        <f t="shared" si="215"/>
        <v>0</v>
      </c>
      <c r="AK201" s="25">
        <f t="shared" si="216"/>
        <v>0</v>
      </c>
      <c r="AL201" s="25">
        <f t="shared" si="217"/>
        <v>0</v>
      </c>
      <c r="AN201" s="25">
        <v>21</v>
      </c>
      <c r="AO201" s="25">
        <f>G201*0.519999918</f>
        <v>0</v>
      </c>
      <c r="AP201" s="25">
        <f>G201*(1-0.519999918)</f>
        <v>0</v>
      </c>
      <c r="AQ201" s="27" t="s">
        <v>76</v>
      </c>
      <c r="AV201" s="25">
        <f t="shared" si="220"/>
        <v>0</v>
      </c>
      <c r="AW201" s="25">
        <f t="shared" si="221"/>
        <v>0</v>
      </c>
      <c r="AX201" s="25">
        <f t="shared" si="222"/>
        <v>0</v>
      </c>
      <c r="AY201" s="27" t="s">
        <v>584</v>
      </c>
      <c r="AZ201" s="27" t="s">
        <v>585</v>
      </c>
      <c r="BA201" s="11" t="s">
        <v>56</v>
      </c>
      <c r="BC201" s="25">
        <f t="shared" si="223"/>
        <v>0</v>
      </c>
      <c r="BD201" s="25">
        <f t="shared" si="224"/>
        <v>0</v>
      </c>
      <c r="BE201" s="25">
        <v>0</v>
      </c>
      <c r="BF201" s="25">
        <f>201</f>
        <v>201</v>
      </c>
      <c r="BH201" s="25">
        <f t="shared" si="225"/>
        <v>0</v>
      </c>
      <c r="BI201" s="25">
        <f t="shared" si="226"/>
        <v>0</v>
      </c>
      <c r="BJ201" s="25">
        <f t="shared" si="227"/>
        <v>0</v>
      </c>
      <c r="BK201" s="27" t="s">
        <v>57</v>
      </c>
      <c r="BL201" s="25">
        <v>721</v>
      </c>
      <c r="BW201" s="25">
        <v>21</v>
      </c>
      <c r="BX201" s="5" t="s">
        <v>621</v>
      </c>
    </row>
    <row r="202" spans="1:76" x14ac:dyDescent="0.25">
      <c r="A202" s="2" t="s">
        <v>622</v>
      </c>
      <c r="B202" s="3" t="s">
        <v>623</v>
      </c>
      <c r="C202" s="93" t="s">
        <v>624</v>
      </c>
      <c r="D202" s="94"/>
      <c r="E202" s="3" t="s">
        <v>131</v>
      </c>
      <c r="F202" s="25">
        <v>5</v>
      </c>
      <c r="G202" s="25">
        <v>0</v>
      </c>
      <c r="H202" s="25">
        <f t="shared" si="204"/>
        <v>0</v>
      </c>
      <c r="I202" s="25">
        <f t="shared" si="205"/>
        <v>0</v>
      </c>
      <c r="J202" s="25">
        <f t="shared" si="206"/>
        <v>0</v>
      </c>
      <c r="K202" s="26" t="s">
        <v>53</v>
      </c>
      <c r="Z202" s="25">
        <f t="shared" si="207"/>
        <v>0</v>
      </c>
      <c r="AB202" s="25">
        <f t="shared" si="208"/>
        <v>0</v>
      </c>
      <c r="AC202" s="25">
        <f t="shared" si="209"/>
        <v>0</v>
      </c>
      <c r="AD202" s="25">
        <f t="shared" si="210"/>
        <v>0</v>
      </c>
      <c r="AE202" s="25">
        <f t="shared" si="211"/>
        <v>0</v>
      </c>
      <c r="AF202" s="25">
        <f t="shared" si="212"/>
        <v>0</v>
      </c>
      <c r="AG202" s="25">
        <f t="shared" si="213"/>
        <v>0</v>
      </c>
      <c r="AH202" s="25">
        <f t="shared" si="214"/>
        <v>0</v>
      </c>
      <c r="AI202" s="11" t="s">
        <v>46</v>
      </c>
      <c r="AJ202" s="25">
        <f t="shared" si="215"/>
        <v>0</v>
      </c>
      <c r="AK202" s="25">
        <f t="shared" si="216"/>
        <v>0</v>
      </c>
      <c r="AL202" s="25">
        <f t="shared" si="217"/>
        <v>0</v>
      </c>
      <c r="AN202" s="25">
        <v>21</v>
      </c>
      <c r="AO202" s="25">
        <f t="shared" ref="AO202:AO233" si="228">G202*0.52</f>
        <v>0</v>
      </c>
      <c r="AP202" s="25">
        <f t="shared" ref="AP202:AP233" si="229">G202*(1-0.52)</f>
        <v>0</v>
      </c>
      <c r="AQ202" s="27" t="s">
        <v>76</v>
      </c>
      <c r="AV202" s="25">
        <f t="shared" si="220"/>
        <v>0</v>
      </c>
      <c r="AW202" s="25">
        <f t="shared" si="221"/>
        <v>0</v>
      </c>
      <c r="AX202" s="25">
        <f t="shared" si="222"/>
        <v>0</v>
      </c>
      <c r="AY202" s="27" t="s">
        <v>584</v>
      </c>
      <c r="AZ202" s="27" t="s">
        <v>585</v>
      </c>
      <c r="BA202" s="11" t="s">
        <v>56</v>
      </c>
      <c r="BC202" s="25">
        <f t="shared" si="223"/>
        <v>0</v>
      </c>
      <c r="BD202" s="25">
        <f t="shared" si="224"/>
        <v>0</v>
      </c>
      <c r="BE202" s="25">
        <v>0</v>
      </c>
      <c r="BF202" s="25">
        <f>202</f>
        <v>202</v>
      </c>
      <c r="BH202" s="25">
        <f t="shared" si="225"/>
        <v>0</v>
      </c>
      <c r="BI202" s="25">
        <f t="shared" si="226"/>
        <v>0</v>
      </c>
      <c r="BJ202" s="25">
        <f t="shared" si="227"/>
        <v>0</v>
      </c>
      <c r="BK202" s="27" t="s">
        <v>57</v>
      </c>
      <c r="BL202" s="25">
        <v>721</v>
      </c>
      <c r="BW202" s="25">
        <v>21</v>
      </c>
      <c r="BX202" s="5" t="s">
        <v>624</v>
      </c>
    </row>
    <row r="203" spans="1:76" x14ac:dyDescent="0.25">
      <c r="A203" s="2" t="s">
        <v>625</v>
      </c>
      <c r="B203" s="3" t="s">
        <v>626</v>
      </c>
      <c r="C203" s="93" t="s">
        <v>627</v>
      </c>
      <c r="D203" s="94"/>
      <c r="E203" s="3" t="s">
        <v>131</v>
      </c>
      <c r="F203" s="25">
        <v>63</v>
      </c>
      <c r="G203" s="25">
        <v>0</v>
      </c>
      <c r="H203" s="25">
        <f t="shared" si="204"/>
        <v>0</v>
      </c>
      <c r="I203" s="25">
        <f t="shared" si="205"/>
        <v>0</v>
      </c>
      <c r="J203" s="25">
        <f t="shared" si="206"/>
        <v>0</v>
      </c>
      <c r="K203" s="26" t="s">
        <v>53</v>
      </c>
      <c r="Z203" s="25">
        <f t="shared" si="207"/>
        <v>0</v>
      </c>
      <c r="AB203" s="25">
        <f t="shared" si="208"/>
        <v>0</v>
      </c>
      <c r="AC203" s="25">
        <f t="shared" si="209"/>
        <v>0</v>
      </c>
      <c r="AD203" s="25">
        <f t="shared" si="210"/>
        <v>0</v>
      </c>
      <c r="AE203" s="25">
        <f t="shared" si="211"/>
        <v>0</v>
      </c>
      <c r="AF203" s="25">
        <f t="shared" si="212"/>
        <v>0</v>
      </c>
      <c r="AG203" s="25">
        <f t="shared" si="213"/>
        <v>0</v>
      </c>
      <c r="AH203" s="25">
        <f t="shared" si="214"/>
        <v>0</v>
      </c>
      <c r="AI203" s="11" t="s">
        <v>46</v>
      </c>
      <c r="AJ203" s="25">
        <f t="shared" si="215"/>
        <v>0</v>
      </c>
      <c r="AK203" s="25">
        <f t="shared" si="216"/>
        <v>0</v>
      </c>
      <c r="AL203" s="25">
        <f t="shared" si="217"/>
        <v>0</v>
      </c>
      <c r="AN203" s="25">
        <v>21</v>
      </c>
      <c r="AO203" s="25">
        <f t="shared" si="228"/>
        <v>0</v>
      </c>
      <c r="AP203" s="25">
        <f t="shared" si="229"/>
        <v>0</v>
      </c>
      <c r="AQ203" s="27" t="s">
        <v>76</v>
      </c>
      <c r="AV203" s="25">
        <f t="shared" si="220"/>
        <v>0</v>
      </c>
      <c r="AW203" s="25">
        <f t="shared" si="221"/>
        <v>0</v>
      </c>
      <c r="AX203" s="25">
        <f t="shared" si="222"/>
        <v>0</v>
      </c>
      <c r="AY203" s="27" t="s">
        <v>584</v>
      </c>
      <c r="AZ203" s="27" t="s">
        <v>585</v>
      </c>
      <c r="BA203" s="11" t="s">
        <v>56</v>
      </c>
      <c r="BC203" s="25">
        <f t="shared" si="223"/>
        <v>0</v>
      </c>
      <c r="BD203" s="25">
        <f t="shared" si="224"/>
        <v>0</v>
      </c>
      <c r="BE203" s="25">
        <v>0</v>
      </c>
      <c r="BF203" s="25">
        <f>203</f>
        <v>203</v>
      </c>
      <c r="BH203" s="25">
        <f t="shared" si="225"/>
        <v>0</v>
      </c>
      <c r="BI203" s="25">
        <f t="shared" si="226"/>
        <v>0</v>
      </c>
      <c r="BJ203" s="25">
        <f t="shared" si="227"/>
        <v>0</v>
      </c>
      <c r="BK203" s="27" t="s">
        <v>57</v>
      </c>
      <c r="BL203" s="25">
        <v>721</v>
      </c>
      <c r="BW203" s="25">
        <v>21</v>
      </c>
      <c r="BX203" s="5" t="s">
        <v>627</v>
      </c>
    </row>
    <row r="204" spans="1:76" x14ac:dyDescent="0.25">
      <c r="A204" s="2" t="s">
        <v>628</v>
      </c>
      <c r="B204" s="3" t="s">
        <v>629</v>
      </c>
      <c r="C204" s="93" t="s">
        <v>630</v>
      </c>
      <c r="D204" s="94"/>
      <c r="E204" s="3" t="s">
        <v>131</v>
      </c>
      <c r="F204" s="25">
        <v>8</v>
      </c>
      <c r="G204" s="25">
        <v>0</v>
      </c>
      <c r="H204" s="25">
        <f t="shared" si="204"/>
        <v>0</v>
      </c>
      <c r="I204" s="25">
        <f t="shared" si="205"/>
        <v>0</v>
      </c>
      <c r="J204" s="25">
        <f t="shared" si="206"/>
        <v>0</v>
      </c>
      <c r="K204" s="26" t="s">
        <v>53</v>
      </c>
      <c r="Z204" s="25">
        <f t="shared" si="207"/>
        <v>0</v>
      </c>
      <c r="AB204" s="25">
        <f t="shared" si="208"/>
        <v>0</v>
      </c>
      <c r="AC204" s="25">
        <f t="shared" si="209"/>
        <v>0</v>
      </c>
      <c r="AD204" s="25">
        <f t="shared" si="210"/>
        <v>0</v>
      </c>
      <c r="AE204" s="25">
        <f t="shared" si="211"/>
        <v>0</v>
      </c>
      <c r="AF204" s="25">
        <f t="shared" si="212"/>
        <v>0</v>
      </c>
      <c r="AG204" s="25">
        <f t="shared" si="213"/>
        <v>0</v>
      </c>
      <c r="AH204" s="25">
        <f t="shared" si="214"/>
        <v>0</v>
      </c>
      <c r="AI204" s="11" t="s">
        <v>46</v>
      </c>
      <c r="AJ204" s="25">
        <f t="shared" si="215"/>
        <v>0</v>
      </c>
      <c r="AK204" s="25">
        <f t="shared" si="216"/>
        <v>0</v>
      </c>
      <c r="AL204" s="25">
        <f t="shared" si="217"/>
        <v>0</v>
      </c>
      <c r="AN204" s="25">
        <v>21</v>
      </c>
      <c r="AO204" s="25">
        <f t="shared" si="228"/>
        <v>0</v>
      </c>
      <c r="AP204" s="25">
        <f t="shared" si="229"/>
        <v>0</v>
      </c>
      <c r="AQ204" s="27" t="s">
        <v>76</v>
      </c>
      <c r="AV204" s="25">
        <f t="shared" si="220"/>
        <v>0</v>
      </c>
      <c r="AW204" s="25">
        <f t="shared" si="221"/>
        <v>0</v>
      </c>
      <c r="AX204" s="25">
        <f t="shared" si="222"/>
        <v>0</v>
      </c>
      <c r="AY204" s="27" t="s">
        <v>584</v>
      </c>
      <c r="AZ204" s="27" t="s">
        <v>585</v>
      </c>
      <c r="BA204" s="11" t="s">
        <v>56</v>
      </c>
      <c r="BC204" s="25">
        <f t="shared" si="223"/>
        <v>0</v>
      </c>
      <c r="BD204" s="25">
        <f t="shared" si="224"/>
        <v>0</v>
      </c>
      <c r="BE204" s="25">
        <v>0</v>
      </c>
      <c r="BF204" s="25">
        <f>204</f>
        <v>204</v>
      </c>
      <c r="BH204" s="25">
        <f t="shared" si="225"/>
        <v>0</v>
      </c>
      <c r="BI204" s="25">
        <f t="shared" si="226"/>
        <v>0</v>
      </c>
      <c r="BJ204" s="25">
        <f t="shared" si="227"/>
        <v>0</v>
      </c>
      <c r="BK204" s="27" t="s">
        <v>57</v>
      </c>
      <c r="BL204" s="25">
        <v>721</v>
      </c>
      <c r="BW204" s="25">
        <v>21</v>
      </c>
      <c r="BX204" s="5" t="s">
        <v>630</v>
      </c>
    </row>
    <row r="205" spans="1:76" x14ac:dyDescent="0.25">
      <c r="A205" s="2" t="s">
        <v>631</v>
      </c>
      <c r="B205" s="3" t="s">
        <v>632</v>
      </c>
      <c r="C205" s="93" t="s">
        <v>633</v>
      </c>
      <c r="D205" s="94"/>
      <c r="E205" s="3" t="s">
        <v>131</v>
      </c>
      <c r="F205" s="25">
        <v>19.5</v>
      </c>
      <c r="G205" s="25">
        <v>0</v>
      </c>
      <c r="H205" s="25">
        <f t="shared" si="204"/>
        <v>0</v>
      </c>
      <c r="I205" s="25">
        <f t="shared" si="205"/>
        <v>0</v>
      </c>
      <c r="J205" s="25">
        <f t="shared" si="206"/>
        <v>0</v>
      </c>
      <c r="K205" s="26" t="s">
        <v>53</v>
      </c>
      <c r="Z205" s="25">
        <f t="shared" si="207"/>
        <v>0</v>
      </c>
      <c r="AB205" s="25">
        <f t="shared" si="208"/>
        <v>0</v>
      </c>
      <c r="AC205" s="25">
        <f t="shared" si="209"/>
        <v>0</v>
      </c>
      <c r="AD205" s="25">
        <f t="shared" si="210"/>
        <v>0</v>
      </c>
      <c r="AE205" s="25">
        <f t="shared" si="211"/>
        <v>0</v>
      </c>
      <c r="AF205" s="25">
        <f t="shared" si="212"/>
        <v>0</v>
      </c>
      <c r="AG205" s="25">
        <f t="shared" si="213"/>
        <v>0</v>
      </c>
      <c r="AH205" s="25">
        <f t="shared" si="214"/>
        <v>0</v>
      </c>
      <c r="AI205" s="11" t="s">
        <v>46</v>
      </c>
      <c r="AJ205" s="25">
        <f t="shared" si="215"/>
        <v>0</v>
      </c>
      <c r="AK205" s="25">
        <f t="shared" si="216"/>
        <v>0</v>
      </c>
      <c r="AL205" s="25">
        <f t="shared" si="217"/>
        <v>0</v>
      </c>
      <c r="AN205" s="25">
        <v>21</v>
      </c>
      <c r="AO205" s="25">
        <f t="shared" si="228"/>
        <v>0</v>
      </c>
      <c r="AP205" s="25">
        <f t="shared" si="229"/>
        <v>0</v>
      </c>
      <c r="AQ205" s="27" t="s">
        <v>76</v>
      </c>
      <c r="AV205" s="25">
        <f t="shared" si="220"/>
        <v>0</v>
      </c>
      <c r="AW205" s="25">
        <f t="shared" si="221"/>
        <v>0</v>
      </c>
      <c r="AX205" s="25">
        <f t="shared" si="222"/>
        <v>0</v>
      </c>
      <c r="AY205" s="27" t="s">
        <v>584</v>
      </c>
      <c r="AZ205" s="27" t="s">
        <v>585</v>
      </c>
      <c r="BA205" s="11" t="s">
        <v>56</v>
      </c>
      <c r="BC205" s="25">
        <f t="shared" si="223"/>
        <v>0</v>
      </c>
      <c r="BD205" s="25">
        <f t="shared" si="224"/>
        <v>0</v>
      </c>
      <c r="BE205" s="25">
        <v>0</v>
      </c>
      <c r="BF205" s="25">
        <f>205</f>
        <v>205</v>
      </c>
      <c r="BH205" s="25">
        <f t="shared" si="225"/>
        <v>0</v>
      </c>
      <c r="BI205" s="25">
        <f t="shared" si="226"/>
        <v>0</v>
      </c>
      <c r="BJ205" s="25">
        <f t="shared" si="227"/>
        <v>0</v>
      </c>
      <c r="BK205" s="27" t="s">
        <v>57</v>
      </c>
      <c r="BL205" s="25">
        <v>721</v>
      </c>
      <c r="BW205" s="25">
        <v>21</v>
      </c>
      <c r="BX205" s="5" t="s">
        <v>633</v>
      </c>
    </row>
    <row r="206" spans="1:76" x14ac:dyDescent="0.25">
      <c r="A206" s="2" t="s">
        <v>634</v>
      </c>
      <c r="B206" s="3" t="s">
        <v>635</v>
      </c>
      <c r="C206" s="93" t="s">
        <v>636</v>
      </c>
      <c r="D206" s="94"/>
      <c r="E206" s="3" t="s">
        <v>52</v>
      </c>
      <c r="F206" s="25">
        <v>250</v>
      </c>
      <c r="G206" s="25">
        <v>0</v>
      </c>
      <c r="H206" s="25">
        <f t="shared" si="204"/>
        <v>0</v>
      </c>
      <c r="I206" s="25">
        <f t="shared" si="205"/>
        <v>0</v>
      </c>
      <c r="J206" s="25">
        <f t="shared" si="206"/>
        <v>0</v>
      </c>
      <c r="K206" s="26" t="s">
        <v>53</v>
      </c>
      <c r="Z206" s="25">
        <f t="shared" si="207"/>
        <v>0</v>
      </c>
      <c r="AB206" s="25">
        <f t="shared" si="208"/>
        <v>0</v>
      </c>
      <c r="AC206" s="25">
        <f t="shared" si="209"/>
        <v>0</v>
      </c>
      <c r="AD206" s="25">
        <f t="shared" si="210"/>
        <v>0</v>
      </c>
      <c r="AE206" s="25">
        <f t="shared" si="211"/>
        <v>0</v>
      </c>
      <c r="AF206" s="25">
        <f t="shared" si="212"/>
        <v>0</v>
      </c>
      <c r="AG206" s="25">
        <f t="shared" si="213"/>
        <v>0</v>
      </c>
      <c r="AH206" s="25">
        <f t="shared" si="214"/>
        <v>0</v>
      </c>
      <c r="AI206" s="11" t="s">
        <v>46</v>
      </c>
      <c r="AJ206" s="25">
        <f t="shared" si="215"/>
        <v>0</v>
      </c>
      <c r="AK206" s="25">
        <f t="shared" si="216"/>
        <v>0</v>
      </c>
      <c r="AL206" s="25">
        <f t="shared" si="217"/>
        <v>0</v>
      </c>
      <c r="AN206" s="25">
        <v>21</v>
      </c>
      <c r="AO206" s="25">
        <f t="shared" si="228"/>
        <v>0</v>
      </c>
      <c r="AP206" s="25">
        <f t="shared" si="229"/>
        <v>0</v>
      </c>
      <c r="AQ206" s="27" t="s">
        <v>76</v>
      </c>
      <c r="AV206" s="25">
        <f t="shared" si="220"/>
        <v>0</v>
      </c>
      <c r="AW206" s="25">
        <f t="shared" si="221"/>
        <v>0</v>
      </c>
      <c r="AX206" s="25">
        <f t="shared" si="222"/>
        <v>0</v>
      </c>
      <c r="AY206" s="27" t="s">
        <v>584</v>
      </c>
      <c r="AZ206" s="27" t="s">
        <v>585</v>
      </c>
      <c r="BA206" s="11" t="s">
        <v>56</v>
      </c>
      <c r="BC206" s="25">
        <f t="shared" si="223"/>
        <v>0</v>
      </c>
      <c r="BD206" s="25">
        <f t="shared" si="224"/>
        <v>0</v>
      </c>
      <c r="BE206" s="25">
        <v>0</v>
      </c>
      <c r="BF206" s="25">
        <f>206</f>
        <v>206</v>
      </c>
      <c r="BH206" s="25">
        <f t="shared" si="225"/>
        <v>0</v>
      </c>
      <c r="BI206" s="25">
        <f t="shared" si="226"/>
        <v>0</v>
      </c>
      <c r="BJ206" s="25">
        <f t="shared" si="227"/>
        <v>0</v>
      </c>
      <c r="BK206" s="27" t="s">
        <v>57</v>
      </c>
      <c r="BL206" s="25">
        <v>721</v>
      </c>
      <c r="BW206" s="25">
        <v>21</v>
      </c>
      <c r="BX206" s="5" t="s">
        <v>636</v>
      </c>
    </row>
    <row r="207" spans="1:76" x14ac:dyDescent="0.25">
      <c r="A207" s="2" t="s">
        <v>637</v>
      </c>
      <c r="B207" s="3" t="s">
        <v>638</v>
      </c>
      <c r="C207" s="93" t="s">
        <v>639</v>
      </c>
      <c r="D207" s="94"/>
      <c r="E207" s="3" t="s">
        <v>52</v>
      </c>
      <c r="F207" s="25">
        <v>1</v>
      </c>
      <c r="G207" s="25">
        <v>0</v>
      </c>
      <c r="H207" s="25">
        <f t="shared" si="204"/>
        <v>0</v>
      </c>
      <c r="I207" s="25">
        <f t="shared" si="205"/>
        <v>0</v>
      </c>
      <c r="J207" s="25">
        <f t="shared" si="206"/>
        <v>0</v>
      </c>
      <c r="K207" s="26" t="s">
        <v>53</v>
      </c>
      <c r="Z207" s="25">
        <f t="shared" si="207"/>
        <v>0</v>
      </c>
      <c r="AB207" s="25">
        <f t="shared" si="208"/>
        <v>0</v>
      </c>
      <c r="AC207" s="25">
        <f t="shared" si="209"/>
        <v>0</v>
      </c>
      <c r="AD207" s="25">
        <f t="shared" si="210"/>
        <v>0</v>
      </c>
      <c r="AE207" s="25">
        <f t="shared" si="211"/>
        <v>0</v>
      </c>
      <c r="AF207" s="25">
        <f t="shared" si="212"/>
        <v>0</v>
      </c>
      <c r="AG207" s="25">
        <f t="shared" si="213"/>
        <v>0</v>
      </c>
      <c r="AH207" s="25">
        <f t="shared" si="214"/>
        <v>0</v>
      </c>
      <c r="AI207" s="11" t="s">
        <v>46</v>
      </c>
      <c r="AJ207" s="25">
        <f t="shared" si="215"/>
        <v>0</v>
      </c>
      <c r="AK207" s="25">
        <f t="shared" si="216"/>
        <v>0</v>
      </c>
      <c r="AL207" s="25">
        <f t="shared" si="217"/>
        <v>0</v>
      </c>
      <c r="AN207" s="25">
        <v>21</v>
      </c>
      <c r="AO207" s="25">
        <f t="shared" si="228"/>
        <v>0</v>
      </c>
      <c r="AP207" s="25">
        <f t="shared" si="229"/>
        <v>0</v>
      </c>
      <c r="AQ207" s="27" t="s">
        <v>76</v>
      </c>
      <c r="AV207" s="25">
        <f t="shared" si="220"/>
        <v>0</v>
      </c>
      <c r="AW207" s="25">
        <f t="shared" si="221"/>
        <v>0</v>
      </c>
      <c r="AX207" s="25">
        <f t="shared" si="222"/>
        <v>0</v>
      </c>
      <c r="AY207" s="27" t="s">
        <v>584</v>
      </c>
      <c r="AZ207" s="27" t="s">
        <v>585</v>
      </c>
      <c r="BA207" s="11" t="s">
        <v>56</v>
      </c>
      <c r="BC207" s="25">
        <f t="shared" si="223"/>
        <v>0</v>
      </c>
      <c r="BD207" s="25">
        <f t="shared" si="224"/>
        <v>0</v>
      </c>
      <c r="BE207" s="25">
        <v>0</v>
      </c>
      <c r="BF207" s="25">
        <f>207</f>
        <v>207</v>
      </c>
      <c r="BH207" s="25">
        <f t="shared" si="225"/>
        <v>0</v>
      </c>
      <c r="BI207" s="25">
        <f t="shared" si="226"/>
        <v>0</v>
      </c>
      <c r="BJ207" s="25">
        <f t="shared" si="227"/>
        <v>0</v>
      </c>
      <c r="BK207" s="27" t="s">
        <v>57</v>
      </c>
      <c r="BL207" s="25">
        <v>721</v>
      </c>
      <c r="BW207" s="25">
        <v>21</v>
      </c>
      <c r="BX207" s="5" t="s">
        <v>639</v>
      </c>
    </row>
    <row r="208" spans="1:76" x14ac:dyDescent="0.25">
      <c r="A208" s="2" t="s">
        <v>640</v>
      </c>
      <c r="B208" s="3" t="s">
        <v>641</v>
      </c>
      <c r="C208" s="93" t="s">
        <v>642</v>
      </c>
      <c r="D208" s="94"/>
      <c r="E208" s="3" t="s">
        <v>52</v>
      </c>
      <c r="F208" s="25">
        <v>3</v>
      </c>
      <c r="G208" s="25">
        <v>0</v>
      </c>
      <c r="H208" s="25">
        <f t="shared" si="204"/>
        <v>0</v>
      </c>
      <c r="I208" s="25">
        <f t="shared" si="205"/>
        <v>0</v>
      </c>
      <c r="J208" s="25">
        <f t="shared" si="206"/>
        <v>0</v>
      </c>
      <c r="K208" s="26" t="s">
        <v>53</v>
      </c>
      <c r="Z208" s="25">
        <f t="shared" si="207"/>
        <v>0</v>
      </c>
      <c r="AB208" s="25">
        <f t="shared" si="208"/>
        <v>0</v>
      </c>
      <c r="AC208" s="25">
        <f t="shared" si="209"/>
        <v>0</v>
      </c>
      <c r="AD208" s="25">
        <f t="shared" si="210"/>
        <v>0</v>
      </c>
      <c r="AE208" s="25">
        <f t="shared" si="211"/>
        <v>0</v>
      </c>
      <c r="AF208" s="25">
        <f t="shared" si="212"/>
        <v>0</v>
      </c>
      <c r="AG208" s="25">
        <f t="shared" si="213"/>
        <v>0</v>
      </c>
      <c r="AH208" s="25">
        <f t="shared" si="214"/>
        <v>0</v>
      </c>
      <c r="AI208" s="11" t="s">
        <v>46</v>
      </c>
      <c r="AJ208" s="25">
        <f t="shared" si="215"/>
        <v>0</v>
      </c>
      <c r="AK208" s="25">
        <f t="shared" si="216"/>
        <v>0</v>
      </c>
      <c r="AL208" s="25">
        <f t="shared" si="217"/>
        <v>0</v>
      </c>
      <c r="AN208" s="25">
        <v>21</v>
      </c>
      <c r="AO208" s="25">
        <f t="shared" si="228"/>
        <v>0</v>
      </c>
      <c r="AP208" s="25">
        <f t="shared" si="229"/>
        <v>0</v>
      </c>
      <c r="AQ208" s="27" t="s">
        <v>76</v>
      </c>
      <c r="AV208" s="25">
        <f t="shared" si="220"/>
        <v>0</v>
      </c>
      <c r="AW208" s="25">
        <f t="shared" si="221"/>
        <v>0</v>
      </c>
      <c r="AX208" s="25">
        <f t="shared" si="222"/>
        <v>0</v>
      </c>
      <c r="AY208" s="27" t="s">
        <v>584</v>
      </c>
      <c r="AZ208" s="27" t="s">
        <v>585</v>
      </c>
      <c r="BA208" s="11" t="s">
        <v>56</v>
      </c>
      <c r="BC208" s="25">
        <f t="shared" si="223"/>
        <v>0</v>
      </c>
      <c r="BD208" s="25">
        <f t="shared" si="224"/>
        <v>0</v>
      </c>
      <c r="BE208" s="25">
        <v>0</v>
      </c>
      <c r="BF208" s="25">
        <f>208</f>
        <v>208</v>
      </c>
      <c r="BH208" s="25">
        <f t="shared" si="225"/>
        <v>0</v>
      </c>
      <c r="BI208" s="25">
        <f t="shared" si="226"/>
        <v>0</v>
      </c>
      <c r="BJ208" s="25">
        <f t="shared" si="227"/>
        <v>0</v>
      </c>
      <c r="BK208" s="27" t="s">
        <v>57</v>
      </c>
      <c r="BL208" s="25">
        <v>721</v>
      </c>
      <c r="BW208" s="25">
        <v>21</v>
      </c>
      <c r="BX208" s="5" t="s">
        <v>642</v>
      </c>
    </row>
    <row r="209" spans="1:76" x14ac:dyDescent="0.25">
      <c r="A209" s="2" t="s">
        <v>643</v>
      </c>
      <c r="B209" s="3" t="s">
        <v>644</v>
      </c>
      <c r="C209" s="93" t="s">
        <v>645</v>
      </c>
      <c r="D209" s="94"/>
      <c r="E209" s="3" t="s">
        <v>52</v>
      </c>
      <c r="F209" s="25">
        <v>22</v>
      </c>
      <c r="G209" s="25">
        <v>0</v>
      </c>
      <c r="H209" s="25">
        <f t="shared" si="204"/>
        <v>0</v>
      </c>
      <c r="I209" s="25">
        <f t="shared" si="205"/>
        <v>0</v>
      </c>
      <c r="J209" s="25">
        <f t="shared" si="206"/>
        <v>0</v>
      </c>
      <c r="K209" s="26" t="s">
        <v>53</v>
      </c>
      <c r="Z209" s="25">
        <f t="shared" si="207"/>
        <v>0</v>
      </c>
      <c r="AB209" s="25">
        <f t="shared" si="208"/>
        <v>0</v>
      </c>
      <c r="AC209" s="25">
        <f t="shared" si="209"/>
        <v>0</v>
      </c>
      <c r="AD209" s="25">
        <f t="shared" si="210"/>
        <v>0</v>
      </c>
      <c r="AE209" s="25">
        <f t="shared" si="211"/>
        <v>0</v>
      </c>
      <c r="AF209" s="25">
        <f t="shared" si="212"/>
        <v>0</v>
      </c>
      <c r="AG209" s="25">
        <f t="shared" si="213"/>
        <v>0</v>
      </c>
      <c r="AH209" s="25">
        <f t="shared" si="214"/>
        <v>0</v>
      </c>
      <c r="AI209" s="11" t="s">
        <v>46</v>
      </c>
      <c r="AJ209" s="25">
        <f t="shared" si="215"/>
        <v>0</v>
      </c>
      <c r="AK209" s="25">
        <f t="shared" si="216"/>
        <v>0</v>
      </c>
      <c r="AL209" s="25">
        <f t="shared" si="217"/>
        <v>0</v>
      </c>
      <c r="AN209" s="25">
        <v>21</v>
      </c>
      <c r="AO209" s="25">
        <f t="shared" si="228"/>
        <v>0</v>
      </c>
      <c r="AP209" s="25">
        <f t="shared" si="229"/>
        <v>0</v>
      </c>
      <c r="AQ209" s="27" t="s">
        <v>76</v>
      </c>
      <c r="AV209" s="25">
        <f t="shared" si="220"/>
        <v>0</v>
      </c>
      <c r="AW209" s="25">
        <f t="shared" si="221"/>
        <v>0</v>
      </c>
      <c r="AX209" s="25">
        <f t="shared" si="222"/>
        <v>0</v>
      </c>
      <c r="AY209" s="27" t="s">
        <v>584</v>
      </c>
      <c r="AZ209" s="27" t="s">
        <v>585</v>
      </c>
      <c r="BA209" s="11" t="s">
        <v>56</v>
      </c>
      <c r="BC209" s="25">
        <f t="shared" si="223"/>
        <v>0</v>
      </c>
      <c r="BD209" s="25">
        <f t="shared" si="224"/>
        <v>0</v>
      </c>
      <c r="BE209" s="25">
        <v>0</v>
      </c>
      <c r="BF209" s="25">
        <f>209</f>
        <v>209</v>
      </c>
      <c r="BH209" s="25">
        <f t="shared" si="225"/>
        <v>0</v>
      </c>
      <c r="BI209" s="25">
        <f t="shared" si="226"/>
        <v>0</v>
      </c>
      <c r="BJ209" s="25">
        <f t="shared" si="227"/>
        <v>0</v>
      </c>
      <c r="BK209" s="27" t="s">
        <v>57</v>
      </c>
      <c r="BL209" s="25">
        <v>721</v>
      </c>
      <c r="BW209" s="25">
        <v>21</v>
      </c>
      <c r="BX209" s="5" t="s">
        <v>645</v>
      </c>
    </row>
    <row r="210" spans="1:76" x14ac:dyDescent="0.25">
      <c r="A210" s="2" t="s">
        <v>646</v>
      </c>
      <c r="B210" s="3" t="s">
        <v>647</v>
      </c>
      <c r="C210" s="93" t="s">
        <v>648</v>
      </c>
      <c r="D210" s="94"/>
      <c r="E210" s="3" t="s">
        <v>52</v>
      </c>
      <c r="F210" s="25">
        <v>1</v>
      </c>
      <c r="G210" s="25">
        <v>0</v>
      </c>
      <c r="H210" s="25">
        <f t="shared" si="204"/>
        <v>0</v>
      </c>
      <c r="I210" s="25">
        <f t="shared" si="205"/>
        <v>0</v>
      </c>
      <c r="J210" s="25">
        <f t="shared" si="206"/>
        <v>0</v>
      </c>
      <c r="K210" s="26" t="s">
        <v>53</v>
      </c>
      <c r="Z210" s="25">
        <f t="shared" si="207"/>
        <v>0</v>
      </c>
      <c r="AB210" s="25">
        <f t="shared" si="208"/>
        <v>0</v>
      </c>
      <c r="AC210" s="25">
        <f t="shared" si="209"/>
        <v>0</v>
      </c>
      <c r="AD210" s="25">
        <f t="shared" si="210"/>
        <v>0</v>
      </c>
      <c r="AE210" s="25">
        <f t="shared" si="211"/>
        <v>0</v>
      </c>
      <c r="AF210" s="25">
        <f t="shared" si="212"/>
        <v>0</v>
      </c>
      <c r="AG210" s="25">
        <f t="shared" si="213"/>
        <v>0</v>
      </c>
      <c r="AH210" s="25">
        <f t="shared" si="214"/>
        <v>0</v>
      </c>
      <c r="AI210" s="11" t="s">
        <v>46</v>
      </c>
      <c r="AJ210" s="25">
        <f t="shared" si="215"/>
        <v>0</v>
      </c>
      <c r="AK210" s="25">
        <f t="shared" si="216"/>
        <v>0</v>
      </c>
      <c r="AL210" s="25">
        <f t="shared" si="217"/>
        <v>0</v>
      </c>
      <c r="AN210" s="25">
        <v>21</v>
      </c>
      <c r="AO210" s="25">
        <f t="shared" si="228"/>
        <v>0</v>
      </c>
      <c r="AP210" s="25">
        <f t="shared" si="229"/>
        <v>0</v>
      </c>
      <c r="AQ210" s="27" t="s">
        <v>76</v>
      </c>
      <c r="AV210" s="25">
        <f t="shared" si="220"/>
        <v>0</v>
      </c>
      <c r="AW210" s="25">
        <f t="shared" si="221"/>
        <v>0</v>
      </c>
      <c r="AX210" s="25">
        <f t="shared" si="222"/>
        <v>0</v>
      </c>
      <c r="AY210" s="27" t="s">
        <v>584</v>
      </c>
      <c r="AZ210" s="27" t="s">
        <v>585</v>
      </c>
      <c r="BA210" s="11" t="s">
        <v>56</v>
      </c>
      <c r="BC210" s="25">
        <f t="shared" si="223"/>
        <v>0</v>
      </c>
      <c r="BD210" s="25">
        <f t="shared" si="224"/>
        <v>0</v>
      </c>
      <c r="BE210" s="25">
        <v>0</v>
      </c>
      <c r="BF210" s="25">
        <f>210</f>
        <v>210</v>
      </c>
      <c r="BH210" s="25">
        <f t="shared" si="225"/>
        <v>0</v>
      </c>
      <c r="BI210" s="25">
        <f t="shared" si="226"/>
        <v>0</v>
      </c>
      <c r="BJ210" s="25">
        <f t="shared" si="227"/>
        <v>0</v>
      </c>
      <c r="BK210" s="27" t="s">
        <v>57</v>
      </c>
      <c r="BL210" s="25">
        <v>721</v>
      </c>
      <c r="BW210" s="25">
        <v>21</v>
      </c>
      <c r="BX210" s="5" t="s">
        <v>648</v>
      </c>
    </row>
    <row r="211" spans="1:76" x14ac:dyDescent="0.25">
      <c r="A211" s="2" t="s">
        <v>649</v>
      </c>
      <c r="B211" s="3" t="s">
        <v>650</v>
      </c>
      <c r="C211" s="93" t="s">
        <v>651</v>
      </c>
      <c r="D211" s="94"/>
      <c r="E211" s="3" t="s">
        <v>52</v>
      </c>
      <c r="F211" s="25">
        <v>5</v>
      </c>
      <c r="G211" s="25">
        <v>0</v>
      </c>
      <c r="H211" s="25">
        <f t="shared" si="204"/>
        <v>0</v>
      </c>
      <c r="I211" s="25">
        <f t="shared" si="205"/>
        <v>0</v>
      </c>
      <c r="J211" s="25">
        <f t="shared" si="206"/>
        <v>0</v>
      </c>
      <c r="K211" s="26" t="s">
        <v>53</v>
      </c>
      <c r="Z211" s="25">
        <f t="shared" si="207"/>
        <v>0</v>
      </c>
      <c r="AB211" s="25">
        <f t="shared" si="208"/>
        <v>0</v>
      </c>
      <c r="AC211" s="25">
        <f t="shared" si="209"/>
        <v>0</v>
      </c>
      <c r="AD211" s="25">
        <f t="shared" si="210"/>
        <v>0</v>
      </c>
      <c r="AE211" s="25">
        <f t="shared" si="211"/>
        <v>0</v>
      </c>
      <c r="AF211" s="25">
        <f t="shared" si="212"/>
        <v>0</v>
      </c>
      <c r="AG211" s="25">
        <f t="shared" si="213"/>
        <v>0</v>
      </c>
      <c r="AH211" s="25">
        <f t="shared" si="214"/>
        <v>0</v>
      </c>
      <c r="AI211" s="11" t="s">
        <v>46</v>
      </c>
      <c r="AJ211" s="25">
        <f t="shared" si="215"/>
        <v>0</v>
      </c>
      <c r="AK211" s="25">
        <f t="shared" si="216"/>
        <v>0</v>
      </c>
      <c r="AL211" s="25">
        <f t="shared" si="217"/>
        <v>0</v>
      </c>
      <c r="AN211" s="25">
        <v>21</v>
      </c>
      <c r="AO211" s="25">
        <f t="shared" si="228"/>
        <v>0</v>
      </c>
      <c r="AP211" s="25">
        <f t="shared" si="229"/>
        <v>0</v>
      </c>
      <c r="AQ211" s="27" t="s">
        <v>76</v>
      </c>
      <c r="AV211" s="25">
        <f t="shared" si="220"/>
        <v>0</v>
      </c>
      <c r="AW211" s="25">
        <f t="shared" si="221"/>
        <v>0</v>
      </c>
      <c r="AX211" s="25">
        <f t="shared" si="222"/>
        <v>0</v>
      </c>
      <c r="AY211" s="27" t="s">
        <v>584</v>
      </c>
      <c r="AZ211" s="27" t="s">
        <v>585</v>
      </c>
      <c r="BA211" s="11" t="s">
        <v>56</v>
      </c>
      <c r="BC211" s="25">
        <f t="shared" si="223"/>
        <v>0</v>
      </c>
      <c r="BD211" s="25">
        <f t="shared" si="224"/>
        <v>0</v>
      </c>
      <c r="BE211" s="25">
        <v>0</v>
      </c>
      <c r="BF211" s="25">
        <f>211</f>
        <v>211</v>
      </c>
      <c r="BH211" s="25">
        <f t="shared" si="225"/>
        <v>0</v>
      </c>
      <c r="BI211" s="25">
        <f t="shared" si="226"/>
        <v>0</v>
      </c>
      <c r="BJ211" s="25">
        <f t="shared" si="227"/>
        <v>0</v>
      </c>
      <c r="BK211" s="27" t="s">
        <v>57</v>
      </c>
      <c r="BL211" s="25">
        <v>721</v>
      </c>
      <c r="BW211" s="25">
        <v>21</v>
      </c>
      <c r="BX211" s="5" t="s">
        <v>651</v>
      </c>
    </row>
    <row r="212" spans="1:76" x14ac:dyDescent="0.25">
      <c r="A212" s="2" t="s">
        <v>652</v>
      </c>
      <c r="B212" s="3" t="s">
        <v>653</v>
      </c>
      <c r="C212" s="93" t="s">
        <v>654</v>
      </c>
      <c r="D212" s="94"/>
      <c r="E212" s="3" t="s">
        <v>52</v>
      </c>
      <c r="F212" s="25">
        <v>14</v>
      </c>
      <c r="G212" s="25">
        <v>0</v>
      </c>
      <c r="H212" s="25">
        <f t="shared" si="204"/>
        <v>0</v>
      </c>
      <c r="I212" s="25">
        <f t="shared" si="205"/>
        <v>0</v>
      </c>
      <c r="J212" s="25">
        <f t="shared" si="206"/>
        <v>0</v>
      </c>
      <c r="K212" s="26" t="s">
        <v>53</v>
      </c>
      <c r="Z212" s="25">
        <f t="shared" si="207"/>
        <v>0</v>
      </c>
      <c r="AB212" s="25">
        <f t="shared" si="208"/>
        <v>0</v>
      </c>
      <c r="AC212" s="25">
        <f t="shared" si="209"/>
        <v>0</v>
      </c>
      <c r="AD212" s="25">
        <f t="shared" si="210"/>
        <v>0</v>
      </c>
      <c r="AE212" s="25">
        <f t="shared" si="211"/>
        <v>0</v>
      </c>
      <c r="AF212" s="25">
        <f t="shared" si="212"/>
        <v>0</v>
      </c>
      <c r="AG212" s="25">
        <f t="shared" si="213"/>
        <v>0</v>
      </c>
      <c r="AH212" s="25">
        <f t="shared" si="214"/>
        <v>0</v>
      </c>
      <c r="AI212" s="11" t="s">
        <v>46</v>
      </c>
      <c r="AJ212" s="25">
        <f t="shared" si="215"/>
        <v>0</v>
      </c>
      <c r="AK212" s="25">
        <f t="shared" si="216"/>
        <v>0</v>
      </c>
      <c r="AL212" s="25">
        <f t="shared" si="217"/>
        <v>0</v>
      </c>
      <c r="AN212" s="25">
        <v>21</v>
      </c>
      <c r="AO212" s="25">
        <f t="shared" si="228"/>
        <v>0</v>
      </c>
      <c r="AP212" s="25">
        <f t="shared" si="229"/>
        <v>0</v>
      </c>
      <c r="AQ212" s="27" t="s">
        <v>76</v>
      </c>
      <c r="AV212" s="25">
        <f t="shared" si="220"/>
        <v>0</v>
      </c>
      <c r="AW212" s="25">
        <f t="shared" si="221"/>
        <v>0</v>
      </c>
      <c r="AX212" s="25">
        <f t="shared" si="222"/>
        <v>0</v>
      </c>
      <c r="AY212" s="27" t="s">
        <v>584</v>
      </c>
      <c r="AZ212" s="27" t="s">
        <v>585</v>
      </c>
      <c r="BA212" s="11" t="s">
        <v>56</v>
      </c>
      <c r="BC212" s="25">
        <f t="shared" si="223"/>
        <v>0</v>
      </c>
      <c r="BD212" s="25">
        <f t="shared" si="224"/>
        <v>0</v>
      </c>
      <c r="BE212" s="25">
        <v>0</v>
      </c>
      <c r="BF212" s="25">
        <f>212</f>
        <v>212</v>
      </c>
      <c r="BH212" s="25">
        <f t="shared" si="225"/>
        <v>0</v>
      </c>
      <c r="BI212" s="25">
        <f t="shared" si="226"/>
        <v>0</v>
      </c>
      <c r="BJ212" s="25">
        <f t="shared" si="227"/>
        <v>0</v>
      </c>
      <c r="BK212" s="27" t="s">
        <v>57</v>
      </c>
      <c r="BL212" s="25">
        <v>721</v>
      </c>
      <c r="BW212" s="25">
        <v>21</v>
      </c>
      <c r="BX212" s="5" t="s">
        <v>654</v>
      </c>
    </row>
    <row r="213" spans="1:76" x14ac:dyDescent="0.25">
      <c r="A213" s="2" t="s">
        <v>655</v>
      </c>
      <c r="B213" s="3" t="s">
        <v>656</v>
      </c>
      <c r="C213" s="93" t="s">
        <v>657</v>
      </c>
      <c r="D213" s="94"/>
      <c r="E213" s="3" t="s">
        <v>52</v>
      </c>
      <c r="F213" s="25">
        <v>6</v>
      </c>
      <c r="G213" s="25">
        <v>0</v>
      </c>
      <c r="H213" s="25">
        <f t="shared" si="204"/>
        <v>0</v>
      </c>
      <c r="I213" s="25">
        <f t="shared" si="205"/>
        <v>0</v>
      </c>
      <c r="J213" s="25">
        <f t="shared" si="206"/>
        <v>0</v>
      </c>
      <c r="K213" s="26" t="s">
        <v>53</v>
      </c>
      <c r="Z213" s="25">
        <f t="shared" si="207"/>
        <v>0</v>
      </c>
      <c r="AB213" s="25">
        <f t="shared" si="208"/>
        <v>0</v>
      </c>
      <c r="AC213" s="25">
        <f t="shared" si="209"/>
        <v>0</v>
      </c>
      <c r="AD213" s="25">
        <f t="shared" si="210"/>
        <v>0</v>
      </c>
      <c r="AE213" s="25">
        <f t="shared" si="211"/>
        <v>0</v>
      </c>
      <c r="AF213" s="25">
        <f t="shared" si="212"/>
        <v>0</v>
      </c>
      <c r="AG213" s="25">
        <f t="shared" si="213"/>
        <v>0</v>
      </c>
      <c r="AH213" s="25">
        <f t="shared" si="214"/>
        <v>0</v>
      </c>
      <c r="AI213" s="11" t="s">
        <v>46</v>
      </c>
      <c r="AJ213" s="25">
        <f t="shared" si="215"/>
        <v>0</v>
      </c>
      <c r="AK213" s="25">
        <f t="shared" si="216"/>
        <v>0</v>
      </c>
      <c r="AL213" s="25">
        <f t="shared" si="217"/>
        <v>0</v>
      </c>
      <c r="AN213" s="25">
        <v>21</v>
      </c>
      <c r="AO213" s="25">
        <f t="shared" si="228"/>
        <v>0</v>
      </c>
      <c r="AP213" s="25">
        <f t="shared" si="229"/>
        <v>0</v>
      </c>
      <c r="AQ213" s="27" t="s">
        <v>76</v>
      </c>
      <c r="AV213" s="25">
        <f t="shared" si="220"/>
        <v>0</v>
      </c>
      <c r="AW213" s="25">
        <f t="shared" si="221"/>
        <v>0</v>
      </c>
      <c r="AX213" s="25">
        <f t="shared" si="222"/>
        <v>0</v>
      </c>
      <c r="AY213" s="27" t="s">
        <v>584</v>
      </c>
      <c r="AZ213" s="27" t="s">
        <v>585</v>
      </c>
      <c r="BA213" s="11" t="s">
        <v>56</v>
      </c>
      <c r="BC213" s="25">
        <f t="shared" si="223"/>
        <v>0</v>
      </c>
      <c r="BD213" s="25">
        <f t="shared" si="224"/>
        <v>0</v>
      </c>
      <c r="BE213" s="25">
        <v>0</v>
      </c>
      <c r="BF213" s="25">
        <f>213</f>
        <v>213</v>
      </c>
      <c r="BH213" s="25">
        <f t="shared" si="225"/>
        <v>0</v>
      </c>
      <c r="BI213" s="25">
        <f t="shared" si="226"/>
        <v>0</v>
      </c>
      <c r="BJ213" s="25">
        <f t="shared" si="227"/>
        <v>0</v>
      </c>
      <c r="BK213" s="27" t="s">
        <v>57</v>
      </c>
      <c r="BL213" s="25">
        <v>721</v>
      </c>
      <c r="BW213" s="25">
        <v>21</v>
      </c>
      <c r="BX213" s="5" t="s">
        <v>657</v>
      </c>
    </row>
    <row r="214" spans="1:76" x14ac:dyDescent="0.25">
      <c r="A214" s="2" t="s">
        <v>658</v>
      </c>
      <c r="B214" s="3" t="s">
        <v>659</v>
      </c>
      <c r="C214" s="93" t="s">
        <v>660</v>
      </c>
      <c r="D214" s="94"/>
      <c r="E214" s="3" t="s">
        <v>52</v>
      </c>
      <c r="F214" s="25">
        <v>6</v>
      </c>
      <c r="G214" s="25">
        <v>0</v>
      </c>
      <c r="H214" s="25">
        <f t="shared" si="204"/>
        <v>0</v>
      </c>
      <c r="I214" s="25">
        <f t="shared" si="205"/>
        <v>0</v>
      </c>
      <c r="J214" s="25">
        <f t="shared" si="206"/>
        <v>0</v>
      </c>
      <c r="K214" s="26" t="s">
        <v>53</v>
      </c>
      <c r="Z214" s="25">
        <f t="shared" si="207"/>
        <v>0</v>
      </c>
      <c r="AB214" s="25">
        <f t="shared" si="208"/>
        <v>0</v>
      </c>
      <c r="AC214" s="25">
        <f t="shared" si="209"/>
        <v>0</v>
      </c>
      <c r="AD214" s="25">
        <f t="shared" si="210"/>
        <v>0</v>
      </c>
      <c r="AE214" s="25">
        <f t="shared" si="211"/>
        <v>0</v>
      </c>
      <c r="AF214" s="25">
        <f t="shared" si="212"/>
        <v>0</v>
      </c>
      <c r="AG214" s="25">
        <f t="shared" si="213"/>
        <v>0</v>
      </c>
      <c r="AH214" s="25">
        <f t="shared" si="214"/>
        <v>0</v>
      </c>
      <c r="AI214" s="11" t="s">
        <v>46</v>
      </c>
      <c r="AJ214" s="25">
        <f t="shared" si="215"/>
        <v>0</v>
      </c>
      <c r="AK214" s="25">
        <f t="shared" si="216"/>
        <v>0</v>
      </c>
      <c r="AL214" s="25">
        <f t="shared" si="217"/>
        <v>0</v>
      </c>
      <c r="AN214" s="25">
        <v>21</v>
      </c>
      <c r="AO214" s="25">
        <f t="shared" si="228"/>
        <v>0</v>
      </c>
      <c r="AP214" s="25">
        <f t="shared" si="229"/>
        <v>0</v>
      </c>
      <c r="AQ214" s="27" t="s">
        <v>76</v>
      </c>
      <c r="AV214" s="25">
        <f t="shared" si="220"/>
        <v>0</v>
      </c>
      <c r="AW214" s="25">
        <f t="shared" si="221"/>
        <v>0</v>
      </c>
      <c r="AX214" s="25">
        <f t="shared" si="222"/>
        <v>0</v>
      </c>
      <c r="AY214" s="27" t="s">
        <v>584</v>
      </c>
      <c r="AZ214" s="27" t="s">
        <v>585</v>
      </c>
      <c r="BA214" s="11" t="s">
        <v>56</v>
      </c>
      <c r="BC214" s="25">
        <f t="shared" si="223"/>
        <v>0</v>
      </c>
      <c r="BD214" s="25">
        <f t="shared" si="224"/>
        <v>0</v>
      </c>
      <c r="BE214" s="25">
        <v>0</v>
      </c>
      <c r="BF214" s="25">
        <f>214</f>
        <v>214</v>
      </c>
      <c r="BH214" s="25">
        <f t="shared" si="225"/>
        <v>0</v>
      </c>
      <c r="BI214" s="25">
        <f t="shared" si="226"/>
        <v>0</v>
      </c>
      <c r="BJ214" s="25">
        <f t="shared" si="227"/>
        <v>0</v>
      </c>
      <c r="BK214" s="27" t="s">
        <v>57</v>
      </c>
      <c r="BL214" s="25">
        <v>721</v>
      </c>
      <c r="BW214" s="25">
        <v>21</v>
      </c>
      <c r="BX214" s="5" t="s">
        <v>660</v>
      </c>
    </row>
    <row r="215" spans="1:76" x14ac:dyDescent="0.25">
      <c r="A215" s="2" t="s">
        <v>661</v>
      </c>
      <c r="B215" s="3" t="s">
        <v>662</v>
      </c>
      <c r="C215" s="93" t="s">
        <v>663</v>
      </c>
      <c r="D215" s="94"/>
      <c r="E215" s="3" t="s">
        <v>52</v>
      </c>
      <c r="F215" s="25">
        <v>4</v>
      </c>
      <c r="G215" s="25">
        <v>0</v>
      </c>
      <c r="H215" s="25">
        <f t="shared" si="204"/>
        <v>0</v>
      </c>
      <c r="I215" s="25">
        <f t="shared" si="205"/>
        <v>0</v>
      </c>
      <c r="J215" s="25">
        <f t="shared" si="206"/>
        <v>0</v>
      </c>
      <c r="K215" s="26" t="s">
        <v>53</v>
      </c>
      <c r="Z215" s="25">
        <f t="shared" si="207"/>
        <v>0</v>
      </c>
      <c r="AB215" s="25">
        <f t="shared" si="208"/>
        <v>0</v>
      </c>
      <c r="AC215" s="25">
        <f t="shared" si="209"/>
        <v>0</v>
      </c>
      <c r="AD215" s="25">
        <f t="shared" si="210"/>
        <v>0</v>
      </c>
      <c r="AE215" s="25">
        <f t="shared" si="211"/>
        <v>0</v>
      </c>
      <c r="AF215" s="25">
        <f t="shared" si="212"/>
        <v>0</v>
      </c>
      <c r="AG215" s="25">
        <f t="shared" si="213"/>
        <v>0</v>
      </c>
      <c r="AH215" s="25">
        <f t="shared" si="214"/>
        <v>0</v>
      </c>
      <c r="AI215" s="11" t="s">
        <v>46</v>
      </c>
      <c r="AJ215" s="25">
        <f t="shared" si="215"/>
        <v>0</v>
      </c>
      <c r="AK215" s="25">
        <f t="shared" si="216"/>
        <v>0</v>
      </c>
      <c r="AL215" s="25">
        <f t="shared" si="217"/>
        <v>0</v>
      </c>
      <c r="AN215" s="25">
        <v>21</v>
      </c>
      <c r="AO215" s="25">
        <f t="shared" si="228"/>
        <v>0</v>
      </c>
      <c r="AP215" s="25">
        <f t="shared" si="229"/>
        <v>0</v>
      </c>
      <c r="AQ215" s="27" t="s">
        <v>76</v>
      </c>
      <c r="AV215" s="25">
        <f t="shared" si="220"/>
        <v>0</v>
      </c>
      <c r="AW215" s="25">
        <f t="shared" si="221"/>
        <v>0</v>
      </c>
      <c r="AX215" s="25">
        <f t="shared" si="222"/>
        <v>0</v>
      </c>
      <c r="AY215" s="27" t="s">
        <v>584</v>
      </c>
      <c r="AZ215" s="27" t="s">
        <v>585</v>
      </c>
      <c r="BA215" s="11" t="s">
        <v>56</v>
      </c>
      <c r="BC215" s="25">
        <f t="shared" si="223"/>
        <v>0</v>
      </c>
      <c r="BD215" s="25">
        <f t="shared" si="224"/>
        <v>0</v>
      </c>
      <c r="BE215" s="25">
        <v>0</v>
      </c>
      <c r="BF215" s="25">
        <f>215</f>
        <v>215</v>
      </c>
      <c r="BH215" s="25">
        <f t="shared" si="225"/>
        <v>0</v>
      </c>
      <c r="BI215" s="25">
        <f t="shared" si="226"/>
        <v>0</v>
      </c>
      <c r="BJ215" s="25">
        <f t="shared" si="227"/>
        <v>0</v>
      </c>
      <c r="BK215" s="27" t="s">
        <v>57</v>
      </c>
      <c r="BL215" s="25">
        <v>721</v>
      </c>
      <c r="BW215" s="25">
        <v>21</v>
      </c>
      <c r="BX215" s="5" t="s">
        <v>663</v>
      </c>
    </row>
    <row r="216" spans="1:76" ht="25.5" x14ac:dyDescent="0.25">
      <c r="A216" s="2" t="s">
        <v>664</v>
      </c>
      <c r="B216" s="3" t="s">
        <v>665</v>
      </c>
      <c r="C216" s="93" t="s">
        <v>666</v>
      </c>
      <c r="D216" s="94"/>
      <c r="E216" s="3" t="s">
        <v>52</v>
      </c>
      <c r="F216" s="25">
        <v>1</v>
      </c>
      <c r="G216" s="25">
        <v>0</v>
      </c>
      <c r="H216" s="25">
        <f t="shared" si="204"/>
        <v>0</v>
      </c>
      <c r="I216" s="25">
        <f t="shared" si="205"/>
        <v>0</v>
      </c>
      <c r="J216" s="25">
        <f t="shared" si="206"/>
        <v>0</v>
      </c>
      <c r="K216" s="26" t="s">
        <v>53</v>
      </c>
      <c r="Z216" s="25">
        <f t="shared" si="207"/>
        <v>0</v>
      </c>
      <c r="AB216" s="25">
        <f t="shared" si="208"/>
        <v>0</v>
      </c>
      <c r="AC216" s="25">
        <f t="shared" si="209"/>
        <v>0</v>
      </c>
      <c r="AD216" s="25">
        <f t="shared" si="210"/>
        <v>0</v>
      </c>
      <c r="AE216" s="25">
        <f t="shared" si="211"/>
        <v>0</v>
      </c>
      <c r="AF216" s="25">
        <f t="shared" si="212"/>
        <v>0</v>
      </c>
      <c r="AG216" s="25">
        <f t="shared" si="213"/>
        <v>0</v>
      </c>
      <c r="AH216" s="25">
        <f t="shared" si="214"/>
        <v>0</v>
      </c>
      <c r="AI216" s="11" t="s">
        <v>46</v>
      </c>
      <c r="AJ216" s="25">
        <f t="shared" si="215"/>
        <v>0</v>
      </c>
      <c r="AK216" s="25">
        <f t="shared" si="216"/>
        <v>0</v>
      </c>
      <c r="AL216" s="25">
        <f t="shared" si="217"/>
        <v>0</v>
      </c>
      <c r="AN216" s="25">
        <v>21</v>
      </c>
      <c r="AO216" s="25">
        <f t="shared" si="228"/>
        <v>0</v>
      </c>
      <c r="AP216" s="25">
        <f t="shared" si="229"/>
        <v>0</v>
      </c>
      <c r="AQ216" s="27" t="s">
        <v>76</v>
      </c>
      <c r="AV216" s="25">
        <f t="shared" si="220"/>
        <v>0</v>
      </c>
      <c r="AW216" s="25">
        <f t="shared" si="221"/>
        <v>0</v>
      </c>
      <c r="AX216" s="25">
        <f t="shared" si="222"/>
        <v>0</v>
      </c>
      <c r="AY216" s="27" t="s">
        <v>584</v>
      </c>
      <c r="AZ216" s="27" t="s">
        <v>585</v>
      </c>
      <c r="BA216" s="11" t="s">
        <v>56</v>
      </c>
      <c r="BC216" s="25">
        <f t="shared" si="223"/>
        <v>0</v>
      </c>
      <c r="BD216" s="25">
        <f t="shared" si="224"/>
        <v>0</v>
      </c>
      <c r="BE216" s="25">
        <v>0</v>
      </c>
      <c r="BF216" s="25">
        <f>216</f>
        <v>216</v>
      </c>
      <c r="BH216" s="25">
        <f t="shared" si="225"/>
        <v>0</v>
      </c>
      <c r="BI216" s="25">
        <f t="shared" si="226"/>
        <v>0</v>
      </c>
      <c r="BJ216" s="25">
        <f t="shared" si="227"/>
        <v>0</v>
      </c>
      <c r="BK216" s="27" t="s">
        <v>57</v>
      </c>
      <c r="BL216" s="25">
        <v>721</v>
      </c>
      <c r="BW216" s="25">
        <v>21</v>
      </c>
      <c r="BX216" s="5" t="s">
        <v>666</v>
      </c>
    </row>
    <row r="217" spans="1:76" x14ac:dyDescent="0.25">
      <c r="A217" s="2" t="s">
        <v>667</v>
      </c>
      <c r="B217" s="3" t="s">
        <v>668</v>
      </c>
      <c r="C217" s="93" t="s">
        <v>669</v>
      </c>
      <c r="D217" s="94"/>
      <c r="E217" s="3" t="s">
        <v>52</v>
      </c>
      <c r="F217" s="25">
        <v>12</v>
      </c>
      <c r="G217" s="25">
        <v>0</v>
      </c>
      <c r="H217" s="25">
        <f t="shared" si="204"/>
        <v>0</v>
      </c>
      <c r="I217" s="25">
        <f t="shared" si="205"/>
        <v>0</v>
      </c>
      <c r="J217" s="25">
        <f t="shared" si="206"/>
        <v>0</v>
      </c>
      <c r="K217" s="26" t="s">
        <v>53</v>
      </c>
      <c r="Z217" s="25">
        <f t="shared" si="207"/>
        <v>0</v>
      </c>
      <c r="AB217" s="25">
        <f t="shared" si="208"/>
        <v>0</v>
      </c>
      <c r="AC217" s="25">
        <f t="shared" si="209"/>
        <v>0</v>
      </c>
      <c r="AD217" s="25">
        <f t="shared" si="210"/>
        <v>0</v>
      </c>
      <c r="AE217" s="25">
        <f t="shared" si="211"/>
        <v>0</v>
      </c>
      <c r="AF217" s="25">
        <f t="shared" si="212"/>
        <v>0</v>
      </c>
      <c r="AG217" s="25">
        <f t="shared" si="213"/>
        <v>0</v>
      </c>
      <c r="AH217" s="25">
        <f t="shared" si="214"/>
        <v>0</v>
      </c>
      <c r="AI217" s="11" t="s">
        <v>46</v>
      </c>
      <c r="AJ217" s="25">
        <f t="shared" si="215"/>
        <v>0</v>
      </c>
      <c r="AK217" s="25">
        <f t="shared" si="216"/>
        <v>0</v>
      </c>
      <c r="AL217" s="25">
        <f t="shared" si="217"/>
        <v>0</v>
      </c>
      <c r="AN217" s="25">
        <v>21</v>
      </c>
      <c r="AO217" s="25">
        <f t="shared" si="228"/>
        <v>0</v>
      </c>
      <c r="AP217" s="25">
        <f t="shared" si="229"/>
        <v>0</v>
      </c>
      <c r="AQ217" s="27" t="s">
        <v>76</v>
      </c>
      <c r="AV217" s="25">
        <f t="shared" si="220"/>
        <v>0</v>
      </c>
      <c r="AW217" s="25">
        <f t="shared" si="221"/>
        <v>0</v>
      </c>
      <c r="AX217" s="25">
        <f t="shared" si="222"/>
        <v>0</v>
      </c>
      <c r="AY217" s="27" t="s">
        <v>584</v>
      </c>
      <c r="AZ217" s="27" t="s">
        <v>585</v>
      </c>
      <c r="BA217" s="11" t="s">
        <v>56</v>
      </c>
      <c r="BC217" s="25">
        <f t="shared" si="223"/>
        <v>0</v>
      </c>
      <c r="BD217" s="25">
        <f t="shared" si="224"/>
        <v>0</v>
      </c>
      <c r="BE217" s="25">
        <v>0</v>
      </c>
      <c r="BF217" s="25">
        <f>217</f>
        <v>217</v>
      </c>
      <c r="BH217" s="25">
        <f t="shared" si="225"/>
        <v>0</v>
      </c>
      <c r="BI217" s="25">
        <f t="shared" si="226"/>
        <v>0</v>
      </c>
      <c r="BJ217" s="25">
        <f t="shared" si="227"/>
        <v>0</v>
      </c>
      <c r="BK217" s="27" t="s">
        <v>57</v>
      </c>
      <c r="BL217" s="25">
        <v>721</v>
      </c>
      <c r="BW217" s="25">
        <v>21</v>
      </c>
      <c r="BX217" s="5" t="s">
        <v>669</v>
      </c>
    </row>
    <row r="218" spans="1:76" ht="25.5" x14ac:dyDescent="0.25">
      <c r="A218" s="2" t="s">
        <v>670</v>
      </c>
      <c r="B218" s="3" t="s">
        <v>671</v>
      </c>
      <c r="C218" s="93" t="s">
        <v>672</v>
      </c>
      <c r="D218" s="94"/>
      <c r="E218" s="3" t="s">
        <v>52</v>
      </c>
      <c r="F218" s="25">
        <v>11</v>
      </c>
      <c r="G218" s="25">
        <v>0</v>
      </c>
      <c r="H218" s="25">
        <f t="shared" si="204"/>
        <v>0</v>
      </c>
      <c r="I218" s="25">
        <f t="shared" si="205"/>
        <v>0</v>
      </c>
      <c r="J218" s="25">
        <f t="shared" si="206"/>
        <v>0</v>
      </c>
      <c r="K218" s="26" t="s">
        <v>53</v>
      </c>
      <c r="Z218" s="25">
        <f t="shared" si="207"/>
        <v>0</v>
      </c>
      <c r="AB218" s="25">
        <f t="shared" si="208"/>
        <v>0</v>
      </c>
      <c r="AC218" s="25">
        <f t="shared" si="209"/>
        <v>0</v>
      </c>
      <c r="AD218" s="25">
        <f t="shared" si="210"/>
        <v>0</v>
      </c>
      <c r="AE218" s="25">
        <f t="shared" si="211"/>
        <v>0</v>
      </c>
      <c r="AF218" s="25">
        <f t="shared" si="212"/>
        <v>0</v>
      </c>
      <c r="AG218" s="25">
        <f t="shared" si="213"/>
        <v>0</v>
      </c>
      <c r="AH218" s="25">
        <f t="shared" si="214"/>
        <v>0</v>
      </c>
      <c r="AI218" s="11" t="s">
        <v>46</v>
      </c>
      <c r="AJ218" s="25">
        <f t="shared" si="215"/>
        <v>0</v>
      </c>
      <c r="AK218" s="25">
        <f t="shared" si="216"/>
        <v>0</v>
      </c>
      <c r="AL218" s="25">
        <f t="shared" si="217"/>
        <v>0</v>
      </c>
      <c r="AN218" s="25">
        <v>21</v>
      </c>
      <c r="AO218" s="25">
        <f t="shared" si="228"/>
        <v>0</v>
      </c>
      <c r="AP218" s="25">
        <f t="shared" si="229"/>
        <v>0</v>
      </c>
      <c r="AQ218" s="27" t="s">
        <v>76</v>
      </c>
      <c r="AV218" s="25">
        <f t="shared" si="220"/>
        <v>0</v>
      </c>
      <c r="AW218" s="25">
        <f t="shared" si="221"/>
        <v>0</v>
      </c>
      <c r="AX218" s="25">
        <f t="shared" si="222"/>
        <v>0</v>
      </c>
      <c r="AY218" s="27" t="s">
        <v>584</v>
      </c>
      <c r="AZ218" s="27" t="s">
        <v>585</v>
      </c>
      <c r="BA218" s="11" t="s">
        <v>56</v>
      </c>
      <c r="BC218" s="25">
        <f t="shared" si="223"/>
        <v>0</v>
      </c>
      <c r="BD218" s="25">
        <f t="shared" si="224"/>
        <v>0</v>
      </c>
      <c r="BE218" s="25">
        <v>0</v>
      </c>
      <c r="BF218" s="25">
        <f>218</f>
        <v>218</v>
      </c>
      <c r="BH218" s="25">
        <f t="shared" si="225"/>
        <v>0</v>
      </c>
      <c r="BI218" s="25">
        <f t="shared" si="226"/>
        <v>0</v>
      </c>
      <c r="BJ218" s="25">
        <f t="shared" si="227"/>
        <v>0</v>
      </c>
      <c r="BK218" s="27" t="s">
        <v>57</v>
      </c>
      <c r="BL218" s="25">
        <v>721</v>
      </c>
      <c r="BW218" s="25">
        <v>21</v>
      </c>
      <c r="BX218" s="5" t="s">
        <v>672</v>
      </c>
    </row>
    <row r="219" spans="1:76" x14ac:dyDescent="0.25">
      <c r="A219" s="2" t="s">
        <v>673</v>
      </c>
      <c r="B219" s="3" t="s">
        <v>674</v>
      </c>
      <c r="C219" s="93" t="s">
        <v>675</v>
      </c>
      <c r="D219" s="94"/>
      <c r="E219" s="3" t="s">
        <v>52</v>
      </c>
      <c r="F219" s="25">
        <v>1</v>
      </c>
      <c r="G219" s="25">
        <v>0</v>
      </c>
      <c r="H219" s="25">
        <f t="shared" si="204"/>
        <v>0</v>
      </c>
      <c r="I219" s="25">
        <f t="shared" si="205"/>
        <v>0</v>
      </c>
      <c r="J219" s="25">
        <f t="shared" si="206"/>
        <v>0</v>
      </c>
      <c r="K219" s="26" t="s">
        <v>53</v>
      </c>
      <c r="Z219" s="25">
        <f t="shared" si="207"/>
        <v>0</v>
      </c>
      <c r="AB219" s="25">
        <f t="shared" si="208"/>
        <v>0</v>
      </c>
      <c r="AC219" s="25">
        <f t="shared" si="209"/>
        <v>0</v>
      </c>
      <c r="AD219" s="25">
        <f t="shared" si="210"/>
        <v>0</v>
      </c>
      <c r="AE219" s="25">
        <f t="shared" si="211"/>
        <v>0</v>
      </c>
      <c r="AF219" s="25">
        <f t="shared" si="212"/>
        <v>0</v>
      </c>
      <c r="AG219" s="25">
        <f t="shared" si="213"/>
        <v>0</v>
      </c>
      <c r="AH219" s="25">
        <f t="shared" si="214"/>
        <v>0</v>
      </c>
      <c r="AI219" s="11" t="s">
        <v>46</v>
      </c>
      <c r="AJ219" s="25">
        <f t="shared" si="215"/>
        <v>0</v>
      </c>
      <c r="AK219" s="25">
        <f t="shared" si="216"/>
        <v>0</v>
      </c>
      <c r="AL219" s="25">
        <f t="shared" si="217"/>
        <v>0</v>
      </c>
      <c r="AN219" s="25">
        <v>21</v>
      </c>
      <c r="AO219" s="25">
        <f t="shared" si="228"/>
        <v>0</v>
      </c>
      <c r="AP219" s="25">
        <f t="shared" si="229"/>
        <v>0</v>
      </c>
      <c r="AQ219" s="27" t="s">
        <v>76</v>
      </c>
      <c r="AV219" s="25">
        <f t="shared" si="220"/>
        <v>0</v>
      </c>
      <c r="AW219" s="25">
        <f t="shared" si="221"/>
        <v>0</v>
      </c>
      <c r="AX219" s="25">
        <f t="shared" si="222"/>
        <v>0</v>
      </c>
      <c r="AY219" s="27" t="s">
        <v>584</v>
      </c>
      <c r="AZ219" s="27" t="s">
        <v>585</v>
      </c>
      <c r="BA219" s="11" t="s">
        <v>56</v>
      </c>
      <c r="BC219" s="25">
        <f t="shared" si="223"/>
        <v>0</v>
      </c>
      <c r="BD219" s="25">
        <f t="shared" si="224"/>
        <v>0</v>
      </c>
      <c r="BE219" s="25">
        <v>0</v>
      </c>
      <c r="BF219" s="25">
        <f>219</f>
        <v>219</v>
      </c>
      <c r="BH219" s="25">
        <f t="shared" si="225"/>
        <v>0</v>
      </c>
      <c r="BI219" s="25">
        <f t="shared" si="226"/>
        <v>0</v>
      </c>
      <c r="BJ219" s="25">
        <f t="shared" si="227"/>
        <v>0</v>
      </c>
      <c r="BK219" s="27" t="s">
        <v>57</v>
      </c>
      <c r="BL219" s="25">
        <v>721</v>
      </c>
      <c r="BW219" s="25">
        <v>21</v>
      </c>
      <c r="BX219" s="5" t="s">
        <v>675</v>
      </c>
    </row>
    <row r="220" spans="1:76" ht="25.5" x14ac:dyDescent="0.25">
      <c r="A220" s="2" t="s">
        <v>676</v>
      </c>
      <c r="B220" s="3" t="s">
        <v>677</v>
      </c>
      <c r="C220" s="93" t="s">
        <v>678</v>
      </c>
      <c r="D220" s="94"/>
      <c r="E220" s="3" t="s">
        <v>52</v>
      </c>
      <c r="F220" s="25">
        <v>1</v>
      </c>
      <c r="G220" s="25">
        <v>0</v>
      </c>
      <c r="H220" s="25">
        <f t="shared" si="204"/>
        <v>0</v>
      </c>
      <c r="I220" s="25">
        <f t="shared" si="205"/>
        <v>0</v>
      </c>
      <c r="J220" s="25">
        <f t="shared" si="206"/>
        <v>0</v>
      </c>
      <c r="K220" s="26" t="s">
        <v>53</v>
      </c>
      <c r="Z220" s="25">
        <f t="shared" si="207"/>
        <v>0</v>
      </c>
      <c r="AB220" s="25">
        <f t="shared" si="208"/>
        <v>0</v>
      </c>
      <c r="AC220" s="25">
        <f t="shared" si="209"/>
        <v>0</v>
      </c>
      <c r="AD220" s="25">
        <f t="shared" si="210"/>
        <v>0</v>
      </c>
      <c r="AE220" s="25">
        <f t="shared" si="211"/>
        <v>0</v>
      </c>
      <c r="AF220" s="25">
        <f t="shared" si="212"/>
        <v>0</v>
      </c>
      <c r="AG220" s="25">
        <f t="shared" si="213"/>
        <v>0</v>
      </c>
      <c r="AH220" s="25">
        <f t="shared" si="214"/>
        <v>0</v>
      </c>
      <c r="AI220" s="11" t="s">
        <v>46</v>
      </c>
      <c r="AJ220" s="25">
        <f t="shared" si="215"/>
        <v>0</v>
      </c>
      <c r="AK220" s="25">
        <f t="shared" si="216"/>
        <v>0</v>
      </c>
      <c r="AL220" s="25">
        <f t="shared" si="217"/>
        <v>0</v>
      </c>
      <c r="AN220" s="25">
        <v>21</v>
      </c>
      <c r="AO220" s="25">
        <f t="shared" si="228"/>
        <v>0</v>
      </c>
      <c r="AP220" s="25">
        <f t="shared" si="229"/>
        <v>0</v>
      </c>
      <c r="AQ220" s="27" t="s">
        <v>76</v>
      </c>
      <c r="AV220" s="25">
        <f t="shared" si="220"/>
        <v>0</v>
      </c>
      <c r="AW220" s="25">
        <f t="shared" si="221"/>
        <v>0</v>
      </c>
      <c r="AX220" s="25">
        <f t="shared" si="222"/>
        <v>0</v>
      </c>
      <c r="AY220" s="27" t="s">
        <v>584</v>
      </c>
      <c r="AZ220" s="27" t="s">
        <v>585</v>
      </c>
      <c r="BA220" s="11" t="s">
        <v>56</v>
      </c>
      <c r="BC220" s="25">
        <f t="shared" si="223"/>
        <v>0</v>
      </c>
      <c r="BD220" s="25">
        <f t="shared" si="224"/>
        <v>0</v>
      </c>
      <c r="BE220" s="25">
        <v>0</v>
      </c>
      <c r="BF220" s="25">
        <f>220</f>
        <v>220</v>
      </c>
      <c r="BH220" s="25">
        <f t="shared" si="225"/>
        <v>0</v>
      </c>
      <c r="BI220" s="25">
        <f t="shared" si="226"/>
        <v>0</v>
      </c>
      <c r="BJ220" s="25">
        <f t="shared" si="227"/>
        <v>0</v>
      </c>
      <c r="BK220" s="27" t="s">
        <v>57</v>
      </c>
      <c r="BL220" s="25">
        <v>721</v>
      </c>
      <c r="BW220" s="25">
        <v>21</v>
      </c>
      <c r="BX220" s="5" t="s">
        <v>678</v>
      </c>
    </row>
    <row r="221" spans="1:76" x14ac:dyDescent="0.25">
      <c r="A221" s="2" t="s">
        <v>679</v>
      </c>
      <c r="B221" s="3" t="s">
        <v>680</v>
      </c>
      <c r="C221" s="93" t="s">
        <v>681</v>
      </c>
      <c r="D221" s="94"/>
      <c r="E221" s="3" t="s">
        <v>52</v>
      </c>
      <c r="F221" s="25">
        <v>4</v>
      </c>
      <c r="G221" s="25">
        <v>0</v>
      </c>
      <c r="H221" s="25">
        <f t="shared" ref="H221:H252" si="230">ROUND(F221*AO221,2)</f>
        <v>0</v>
      </c>
      <c r="I221" s="25">
        <f t="shared" ref="I221:I252" si="231">ROUND(F221*AP221,2)</f>
        <v>0</v>
      </c>
      <c r="J221" s="25">
        <f t="shared" ref="J221:J252" si="232">ROUND(F221*G221,1)</f>
        <v>0</v>
      </c>
      <c r="K221" s="26" t="s">
        <v>53</v>
      </c>
      <c r="Z221" s="25">
        <f t="shared" ref="Z221:Z252" si="233">ROUND(IF(AQ221="5",BJ221,0),2)</f>
        <v>0</v>
      </c>
      <c r="AB221" s="25">
        <f t="shared" ref="AB221:AB252" si="234">ROUND(IF(AQ221="1",BH221,0),2)</f>
        <v>0</v>
      </c>
      <c r="AC221" s="25">
        <f t="shared" ref="AC221:AC252" si="235">ROUND(IF(AQ221="1",BI221,0),2)</f>
        <v>0</v>
      </c>
      <c r="AD221" s="25">
        <f t="shared" ref="AD221:AD252" si="236">ROUND(IF(AQ221="7",BH221,0),2)</f>
        <v>0</v>
      </c>
      <c r="AE221" s="25">
        <f t="shared" ref="AE221:AE252" si="237">ROUND(IF(AQ221="7",BI221,0),2)</f>
        <v>0</v>
      </c>
      <c r="AF221" s="25">
        <f t="shared" ref="AF221:AF252" si="238">ROUND(IF(AQ221="2",BH221,0),2)</f>
        <v>0</v>
      </c>
      <c r="AG221" s="25">
        <f t="shared" ref="AG221:AG252" si="239">ROUND(IF(AQ221="2",BI221,0),2)</f>
        <v>0</v>
      </c>
      <c r="AH221" s="25">
        <f t="shared" ref="AH221:AH252" si="240">ROUND(IF(AQ221="0",BJ221,0),2)</f>
        <v>0</v>
      </c>
      <c r="AI221" s="11" t="s">
        <v>46</v>
      </c>
      <c r="AJ221" s="25">
        <f t="shared" ref="AJ221:AJ252" si="241">IF(AN221=0,J221,0)</f>
        <v>0</v>
      </c>
      <c r="AK221" s="25">
        <f t="shared" ref="AK221:AK252" si="242">IF(AN221=12,J221,0)</f>
        <v>0</v>
      </c>
      <c r="AL221" s="25">
        <f t="shared" ref="AL221:AL252" si="243">IF(AN221=21,J221,0)</f>
        <v>0</v>
      </c>
      <c r="AN221" s="25">
        <v>21</v>
      </c>
      <c r="AO221" s="25">
        <f t="shared" si="228"/>
        <v>0</v>
      </c>
      <c r="AP221" s="25">
        <f t="shared" si="229"/>
        <v>0</v>
      </c>
      <c r="AQ221" s="27" t="s">
        <v>76</v>
      </c>
      <c r="AV221" s="25">
        <f t="shared" ref="AV221:AV252" si="244">ROUND(AW221+AX221,2)</f>
        <v>0</v>
      </c>
      <c r="AW221" s="25">
        <f t="shared" ref="AW221:AW252" si="245">ROUND(F221*AO221,2)</f>
        <v>0</v>
      </c>
      <c r="AX221" s="25">
        <f t="shared" ref="AX221:AX252" si="246">ROUND(F221*AP221,2)</f>
        <v>0</v>
      </c>
      <c r="AY221" s="27" t="s">
        <v>584</v>
      </c>
      <c r="AZ221" s="27" t="s">
        <v>585</v>
      </c>
      <c r="BA221" s="11" t="s">
        <v>56</v>
      </c>
      <c r="BC221" s="25">
        <f t="shared" ref="BC221:BC252" si="247">AW221+AX221</f>
        <v>0</v>
      </c>
      <c r="BD221" s="25">
        <f t="shared" ref="BD221:BD252" si="248">G221/(100-BE221)*100</f>
        <v>0</v>
      </c>
      <c r="BE221" s="25">
        <v>0</v>
      </c>
      <c r="BF221" s="25">
        <f>221</f>
        <v>221</v>
      </c>
      <c r="BH221" s="25">
        <f t="shared" ref="BH221:BH252" si="249">F221*AO221</f>
        <v>0</v>
      </c>
      <c r="BI221" s="25">
        <f t="shared" ref="BI221:BI252" si="250">F221*AP221</f>
        <v>0</v>
      </c>
      <c r="BJ221" s="25">
        <f t="shared" ref="BJ221:BJ252" si="251">F221*G221</f>
        <v>0</v>
      </c>
      <c r="BK221" s="27" t="s">
        <v>57</v>
      </c>
      <c r="BL221" s="25">
        <v>721</v>
      </c>
      <c r="BW221" s="25">
        <v>21</v>
      </c>
      <c r="BX221" s="5" t="s">
        <v>681</v>
      </c>
    </row>
    <row r="222" spans="1:76" ht="25.5" x14ac:dyDescent="0.25">
      <c r="A222" s="2" t="s">
        <v>682</v>
      </c>
      <c r="B222" s="3" t="s">
        <v>683</v>
      </c>
      <c r="C222" s="93" t="s">
        <v>684</v>
      </c>
      <c r="D222" s="94"/>
      <c r="E222" s="3" t="s">
        <v>52</v>
      </c>
      <c r="F222" s="25">
        <v>4</v>
      </c>
      <c r="G222" s="25">
        <v>0</v>
      </c>
      <c r="H222" s="25">
        <f t="shared" si="230"/>
        <v>0</v>
      </c>
      <c r="I222" s="25">
        <f t="shared" si="231"/>
        <v>0</v>
      </c>
      <c r="J222" s="25">
        <f t="shared" si="232"/>
        <v>0</v>
      </c>
      <c r="K222" s="26" t="s">
        <v>53</v>
      </c>
      <c r="Z222" s="25">
        <f t="shared" si="233"/>
        <v>0</v>
      </c>
      <c r="AB222" s="25">
        <f t="shared" si="234"/>
        <v>0</v>
      </c>
      <c r="AC222" s="25">
        <f t="shared" si="235"/>
        <v>0</v>
      </c>
      <c r="AD222" s="25">
        <f t="shared" si="236"/>
        <v>0</v>
      </c>
      <c r="AE222" s="25">
        <f t="shared" si="237"/>
        <v>0</v>
      </c>
      <c r="AF222" s="25">
        <f t="shared" si="238"/>
        <v>0</v>
      </c>
      <c r="AG222" s="25">
        <f t="shared" si="239"/>
        <v>0</v>
      </c>
      <c r="AH222" s="25">
        <f t="shared" si="240"/>
        <v>0</v>
      </c>
      <c r="AI222" s="11" t="s">
        <v>46</v>
      </c>
      <c r="AJ222" s="25">
        <f t="shared" si="241"/>
        <v>0</v>
      </c>
      <c r="AK222" s="25">
        <f t="shared" si="242"/>
        <v>0</v>
      </c>
      <c r="AL222" s="25">
        <f t="shared" si="243"/>
        <v>0</v>
      </c>
      <c r="AN222" s="25">
        <v>21</v>
      </c>
      <c r="AO222" s="25">
        <f t="shared" si="228"/>
        <v>0</v>
      </c>
      <c r="AP222" s="25">
        <f t="shared" si="229"/>
        <v>0</v>
      </c>
      <c r="AQ222" s="27" t="s">
        <v>76</v>
      </c>
      <c r="AV222" s="25">
        <f t="shared" si="244"/>
        <v>0</v>
      </c>
      <c r="AW222" s="25">
        <f t="shared" si="245"/>
        <v>0</v>
      </c>
      <c r="AX222" s="25">
        <f t="shared" si="246"/>
        <v>0</v>
      </c>
      <c r="AY222" s="27" t="s">
        <v>584</v>
      </c>
      <c r="AZ222" s="27" t="s">
        <v>585</v>
      </c>
      <c r="BA222" s="11" t="s">
        <v>56</v>
      </c>
      <c r="BC222" s="25">
        <f t="shared" si="247"/>
        <v>0</v>
      </c>
      <c r="BD222" s="25">
        <f t="shared" si="248"/>
        <v>0</v>
      </c>
      <c r="BE222" s="25">
        <v>0</v>
      </c>
      <c r="BF222" s="25">
        <f>222</f>
        <v>222</v>
      </c>
      <c r="BH222" s="25">
        <f t="shared" si="249"/>
        <v>0</v>
      </c>
      <c r="BI222" s="25">
        <f t="shared" si="250"/>
        <v>0</v>
      </c>
      <c r="BJ222" s="25">
        <f t="shared" si="251"/>
        <v>0</v>
      </c>
      <c r="BK222" s="27" t="s">
        <v>57</v>
      </c>
      <c r="BL222" s="25">
        <v>721</v>
      </c>
      <c r="BW222" s="25">
        <v>21</v>
      </c>
      <c r="BX222" s="5" t="s">
        <v>684</v>
      </c>
    </row>
    <row r="223" spans="1:76" ht="25.5" x14ac:dyDescent="0.25">
      <c r="A223" s="2" t="s">
        <v>685</v>
      </c>
      <c r="B223" s="3" t="s">
        <v>686</v>
      </c>
      <c r="C223" s="93" t="s">
        <v>687</v>
      </c>
      <c r="D223" s="94"/>
      <c r="E223" s="3" t="s">
        <v>52</v>
      </c>
      <c r="F223" s="25">
        <v>1</v>
      </c>
      <c r="G223" s="25">
        <v>0</v>
      </c>
      <c r="H223" s="25">
        <f t="shared" si="230"/>
        <v>0</v>
      </c>
      <c r="I223" s="25">
        <f t="shared" si="231"/>
        <v>0</v>
      </c>
      <c r="J223" s="25">
        <f t="shared" si="232"/>
        <v>0</v>
      </c>
      <c r="K223" s="26" t="s">
        <v>53</v>
      </c>
      <c r="Z223" s="25">
        <f t="shared" si="233"/>
        <v>0</v>
      </c>
      <c r="AB223" s="25">
        <f t="shared" si="234"/>
        <v>0</v>
      </c>
      <c r="AC223" s="25">
        <f t="shared" si="235"/>
        <v>0</v>
      </c>
      <c r="AD223" s="25">
        <f t="shared" si="236"/>
        <v>0</v>
      </c>
      <c r="AE223" s="25">
        <f t="shared" si="237"/>
        <v>0</v>
      </c>
      <c r="AF223" s="25">
        <f t="shared" si="238"/>
        <v>0</v>
      </c>
      <c r="AG223" s="25">
        <f t="shared" si="239"/>
        <v>0</v>
      </c>
      <c r="AH223" s="25">
        <f t="shared" si="240"/>
        <v>0</v>
      </c>
      <c r="AI223" s="11" t="s">
        <v>46</v>
      </c>
      <c r="AJ223" s="25">
        <f t="shared" si="241"/>
        <v>0</v>
      </c>
      <c r="AK223" s="25">
        <f t="shared" si="242"/>
        <v>0</v>
      </c>
      <c r="AL223" s="25">
        <f t="shared" si="243"/>
        <v>0</v>
      </c>
      <c r="AN223" s="25">
        <v>21</v>
      </c>
      <c r="AO223" s="25">
        <f t="shared" si="228"/>
        <v>0</v>
      </c>
      <c r="AP223" s="25">
        <f t="shared" si="229"/>
        <v>0</v>
      </c>
      <c r="AQ223" s="27" t="s">
        <v>76</v>
      </c>
      <c r="AV223" s="25">
        <f t="shared" si="244"/>
        <v>0</v>
      </c>
      <c r="AW223" s="25">
        <f t="shared" si="245"/>
        <v>0</v>
      </c>
      <c r="AX223" s="25">
        <f t="shared" si="246"/>
        <v>0</v>
      </c>
      <c r="AY223" s="27" t="s">
        <v>584</v>
      </c>
      <c r="AZ223" s="27" t="s">
        <v>585</v>
      </c>
      <c r="BA223" s="11" t="s">
        <v>56</v>
      </c>
      <c r="BC223" s="25">
        <f t="shared" si="247"/>
        <v>0</v>
      </c>
      <c r="BD223" s="25">
        <f t="shared" si="248"/>
        <v>0</v>
      </c>
      <c r="BE223" s="25">
        <v>0</v>
      </c>
      <c r="BF223" s="25">
        <f>223</f>
        <v>223</v>
      </c>
      <c r="BH223" s="25">
        <f t="shared" si="249"/>
        <v>0</v>
      </c>
      <c r="BI223" s="25">
        <f t="shared" si="250"/>
        <v>0</v>
      </c>
      <c r="BJ223" s="25">
        <f t="shared" si="251"/>
        <v>0</v>
      </c>
      <c r="BK223" s="27" t="s">
        <v>57</v>
      </c>
      <c r="BL223" s="25">
        <v>721</v>
      </c>
      <c r="BW223" s="25">
        <v>21</v>
      </c>
      <c r="BX223" s="5" t="s">
        <v>687</v>
      </c>
    </row>
    <row r="224" spans="1:76" x14ac:dyDescent="0.25">
      <c r="A224" s="2" t="s">
        <v>688</v>
      </c>
      <c r="B224" s="3" t="s">
        <v>689</v>
      </c>
      <c r="C224" s="93" t="s">
        <v>690</v>
      </c>
      <c r="D224" s="94"/>
      <c r="E224" s="3" t="s">
        <v>52</v>
      </c>
      <c r="F224" s="25">
        <v>2</v>
      </c>
      <c r="G224" s="25">
        <v>0</v>
      </c>
      <c r="H224" s="25">
        <f t="shared" si="230"/>
        <v>0</v>
      </c>
      <c r="I224" s="25">
        <f t="shared" si="231"/>
        <v>0</v>
      </c>
      <c r="J224" s="25">
        <f t="shared" si="232"/>
        <v>0</v>
      </c>
      <c r="K224" s="26" t="s">
        <v>53</v>
      </c>
      <c r="Z224" s="25">
        <f t="shared" si="233"/>
        <v>0</v>
      </c>
      <c r="AB224" s="25">
        <f t="shared" si="234"/>
        <v>0</v>
      </c>
      <c r="AC224" s="25">
        <f t="shared" si="235"/>
        <v>0</v>
      </c>
      <c r="AD224" s="25">
        <f t="shared" si="236"/>
        <v>0</v>
      </c>
      <c r="AE224" s="25">
        <f t="shared" si="237"/>
        <v>0</v>
      </c>
      <c r="AF224" s="25">
        <f t="shared" si="238"/>
        <v>0</v>
      </c>
      <c r="AG224" s="25">
        <f t="shared" si="239"/>
        <v>0</v>
      </c>
      <c r="AH224" s="25">
        <f t="shared" si="240"/>
        <v>0</v>
      </c>
      <c r="AI224" s="11" t="s">
        <v>46</v>
      </c>
      <c r="AJ224" s="25">
        <f t="shared" si="241"/>
        <v>0</v>
      </c>
      <c r="AK224" s="25">
        <f t="shared" si="242"/>
        <v>0</v>
      </c>
      <c r="AL224" s="25">
        <f t="shared" si="243"/>
        <v>0</v>
      </c>
      <c r="AN224" s="25">
        <v>21</v>
      </c>
      <c r="AO224" s="25">
        <f t="shared" si="228"/>
        <v>0</v>
      </c>
      <c r="AP224" s="25">
        <f t="shared" si="229"/>
        <v>0</v>
      </c>
      <c r="AQ224" s="27" t="s">
        <v>76</v>
      </c>
      <c r="AV224" s="25">
        <f t="shared" si="244"/>
        <v>0</v>
      </c>
      <c r="AW224" s="25">
        <f t="shared" si="245"/>
        <v>0</v>
      </c>
      <c r="AX224" s="25">
        <f t="shared" si="246"/>
        <v>0</v>
      </c>
      <c r="AY224" s="27" t="s">
        <v>584</v>
      </c>
      <c r="AZ224" s="27" t="s">
        <v>585</v>
      </c>
      <c r="BA224" s="11" t="s">
        <v>56</v>
      </c>
      <c r="BC224" s="25">
        <f t="shared" si="247"/>
        <v>0</v>
      </c>
      <c r="BD224" s="25">
        <f t="shared" si="248"/>
        <v>0</v>
      </c>
      <c r="BE224" s="25">
        <v>0</v>
      </c>
      <c r="BF224" s="25">
        <f>224</f>
        <v>224</v>
      </c>
      <c r="BH224" s="25">
        <f t="shared" si="249"/>
        <v>0</v>
      </c>
      <c r="BI224" s="25">
        <f t="shared" si="250"/>
        <v>0</v>
      </c>
      <c r="BJ224" s="25">
        <f t="shared" si="251"/>
        <v>0</v>
      </c>
      <c r="BK224" s="27" t="s">
        <v>57</v>
      </c>
      <c r="BL224" s="25">
        <v>721</v>
      </c>
      <c r="BW224" s="25">
        <v>21</v>
      </c>
      <c r="BX224" s="5" t="s">
        <v>690</v>
      </c>
    </row>
    <row r="225" spans="1:76" ht="25.5" x14ac:dyDescent="0.25">
      <c r="A225" s="2" t="s">
        <v>691</v>
      </c>
      <c r="B225" s="3" t="s">
        <v>692</v>
      </c>
      <c r="C225" s="93" t="s">
        <v>693</v>
      </c>
      <c r="D225" s="94"/>
      <c r="E225" s="3" t="s">
        <v>52</v>
      </c>
      <c r="F225" s="25">
        <v>2</v>
      </c>
      <c r="G225" s="25">
        <v>0</v>
      </c>
      <c r="H225" s="25">
        <f t="shared" si="230"/>
        <v>0</v>
      </c>
      <c r="I225" s="25">
        <f t="shared" si="231"/>
        <v>0</v>
      </c>
      <c r="J225" s="25">
        <f t="shared" si="232"/>
        <v>0</v>
      </c>
      <c r="K225" s="26" t="s">
        <v>53</v>
      </c>
      <c r="Z225" s="25">
        <f t="shared" si="233"/>
        <v>0</v>
      </c>
      <c r="AB225" s="25">
        <f t="shared" si="234"/>
        <v>0</v>
      </c>
      <c r="AC225" s="25">
        <f t="shared" si="235"/>
        <v>0</v>
      </c>
      <c r="AD225" s="25">
        <f t="shared" si="236"/>
        <v>0</v>
      </c>
      <c r="AE225" s="25">
        <f t="shared" si="237"/>
        <v>0</v>
      </c>
      <c r="AF225" s="25">
        <f t="shared" si="238"/>
        <v>0</v>
      </c>
      <c r="AG225" s="25">
        <f t="shared" si="239"/>
        <v>0</v>
      </c>
      <c r="AH225" s="25">
        <f t="shared" si="240"/>
        <v>0</v>
      </c>
      <c r="AI225" s="11" t="s">
        <v>46</v>
      </c>
      <c r="AJ225" s="25">
        <f t="shared" si="241"/>
        <v>0</v>
      </c>
      <c r="AK225" s="25">
        <f t="shared" si="242"/>
        <v>0</v>
      </c>
      <c r="AL225" s="25">
        <f t="shared" si="243"/>
        <v>0</v>
      </c>
      <c r="AN225" s="25">
        <v>21</v>
      </c>
      <c r="AO225" s="25">
        <f t="shared" si="228"/>
        <v>0</v>
      </c>
      <c r="AP225" s="25">
        <f t="shared" si="229"/>
        <v>0</v>
      </c>
      <c r="AQ225" s="27" t="s">
        <v>76</v>
      </c>
      <c r="AV225" s="25">
        <f t="shared" si="244"/>
        <v>0</v>
      </c>
      <c r="AW225" s="25">
        <f t="shared" si="245"/>
        <v>0</v>
      </c>
      <c r="AX225" s="25">
        <f t="shared" si="246"/>
        <v>0</v>
      </c>
      <c r="AY225" s="27" t="s">
        <v>584</v>
      </c>
      <c r="AZ225" s="27" t="s">
        <v>585</v>
      </c>
      <c r="BA225" s="11" t="s">
        <v>56</v>
      </c>
      <c r="BC225" s="25">
        <f t="shared" si="247"/>
        <v>0</v>
      </c>
      <c r="BD225" s="25">
        <f t="shared" si="248"/>
        <v>0</v>
      </c>
      <c r="BE225" s="25">
        <v>0</v>
      </c>
      <c r="BF225" s="25">
        <f>225</f>
        <v>225</v>
      </c>
      <c r="BH225" s="25">
        <f t="shared" si="249"/>
        <v>0</v>
      </c>
      <c r="BI225" s="25">
        <f t="shared" si="250"/>
        <v>0</v>
      </c>
      <c r="BJ225" s="25">
        <f t="shared" si="251"/>
        <v>0</v>
      </c>
      <c r="BK225" s="27" t="s">
        <v>57</v>
      </c>
      <c r="BL225" s="25">
        <v>721</v>
      </c>
      <c r="BW225" s="25">
        <v>21</v>
      </c>
      <c r="BX225" s="5" t="s">
        <v>693</v>
      </c>
    </row>
    <row r="226" spans="1:76" ht="25.5" x14ac:dyDescent="0.25">
      <c r="A226" s="2" t="s">
        <v>694</v>
      </c>
      <c r="B226" s="3" t="s">
        <v>695</v>
      </c>
      <c r="C226" s="93" t="s">
        <v>696</v>
      </c>
      <c r="D226" s="94"/>
      <c r="E226" s="3" t="s">
        <v>52</v>
      </c>
      <c r="F226" s="25">
        <v>2</v>
      </c>
      <c r="G226" s="25">
        <v>0</v>
      </c>
      <c r="H226" s="25">
        <f t="shared" si="230"/>
        <v>0</v>
      </c>
      <c r="I226" s="25">
        <f t="shared" si="231"/>
        <v>0</v>
      </c>
      <c r="J226" s="25">
        <f t="shared" si="232"/>
        <v>0</v>
      </c>
      <c r="K226" s="26" t="s">
        <v>53</v>
      </c>
      <c r="Z226" s="25">
        <f t="shared" si="233"/>
        <v>0</v>
      </c>
      <c r="AB226" s="25">
        <f t="shared" si="234"/>
        <v>0</v>
      </c>
      <c r="AC226" s="25">
        <f t="shared" si="235"/>
        <v>0</v>
      </c>
      <c r="AD226" s="25">
        <f t="shared" si="236"/>
        <v>0</v>
      </c>
      <c r="AE226" s="25">
        <f t="shared" si="237"/>
        <v>0</v>
      </c>
      <c r="AF226" s="25">
        <f t="shared" si="238"/>
        <v>0</v>
      </c>
      <c r="AG226" s="25">
        <f t="shared" si="239"/>
        <v>0</v>
      </c>
      <c r="AH226" s="25">
        <f t="shared" si="240"/>
        <v>0</v>
      </c>
      <c r="AI226" s="11" t="s">
        <v>46</v>
      </c>
      <c r="AJ226" s="25">
        <f t="shared" si="241"/>
        <v>0</v>
      </c>
      <c r="AK226" s="25">
        <f t="shared" si="242"/>
        <v>0</v>
      </c>
      <c r="AL226" s="25">
        <f t="shared" si="243"/>
        <v>0</v>
      </c>
      <c r="AN226" s="25">
        <v>21</v>
      </c>
      <c r="AO226" s="25">
        <f t="shared" si="228"/>
        <v>0</v>
      </c>
      <c r="AP226" s="25">
        <f t="shared" si="229"/>
        <v>0</v>
      </c>
      <c r="AQ226" s="27" t="s">
        <v>76</v>
      </c>
      <c r="AV226" s="25">
        <f t="shared" si="244"/>
        <v>0</v>
      </c>
      <c r="AW226" s="25">
        <f t="shared" si="245"/>
        <v>0</v>
      </c>
      <c r="AX226" s="25">
        <f t="shared" si="246"/>
        <v>0</v>
      </c>
      <c r="AY226" s="27" t="s">
        <v>584</v>
      </c>
      <c r="AZ226" s="27" t="s">
        <v>585</v>
      </c>
      <c r="BA226" s="11" t="s">
        <v>56</v>
      </c>
      <c r="BC226" s="25">
        <f t="shared" si="247"/>
        <v>0</v>
      </c>
      <c r="BD226" s="25">
        <f t="shared" si="248"/>
        <v>0</v>
      </c>
      <c r="BE226" s="25">
        <v>0</v>
      </c>
      <c r="BF226" s="25">
        <f>226</f>
        <v>226</v>
      </c>
      <c r="BH226" s="25">
        <f t="shared" si="249"/>
        <v>0</v>
      </c>
      <c r="BI226" s="25">
        <f t="shared" si="250"/>
        <v>0</v>
      </c>
      <c r="BJ226" s="25">
        <f t="shared" si="251"/>
        <v>0</v>
      </c>
      <c r="BK226" s="27" t="s">
        <v>57</v>
      </c>
      <c r="BL226" s="25">
        <v>721</v>
      </c>
      <c r="BW226" s="25">
        <v>21</v>
      </c>
      <c r="BX226" s="5" t="s">
        <v>696</v>
      </c>
    </row>
    <row r="227" spans="1:76" x14ac:dyDescent="0.25">
      <c r="A227" s="2" t="s">
        <v>697</v>
      </c>
      <c r="B227" s="3" t="s">
        <v>698</v>
      </c>
      <c r="C227" s="93" t="s">
        <v>699</v>
      </c>
      <c r="D227" s="94"/>
      <c r="E227" s="3" t="s">
        <v>52</v>
      </c>
      <c r="F227" s="25">
        <v>8</v>
      </c>
      <c r="G227" s="25">
        <v>0</v>
      </c>
      <c r="H227" s="25">
        <f t="shared" si="230"/>
        <v>0</v>
      </c>
      <c r="I227" s="25">
        <f t="shared" si="231"/>
        <v>0</v>
      </c>
      <c r="J227" s="25">
        <f t="shared" si="232"/>
        <v>0</v>
      </c>
      <c r="K227" s="26" t="s">
        <v>53</v>
      </c>
      <c r="Z227" s="25">
        <f t="shared" si="233"/>
        <v>0</v>
      </c>
      <c r="AB227" s="25">
        <f t="shared" si="234"/>
        <v>0</v>
      </c>
      <c r="AC227" s="25">
        <f t="shared" si="235"/>
        <v>0</v>
      </c>
      <c r="AD227" s="25">
        <f t="shared" si="236"/>
        <v>0</v>
      </c>
      <c r="AE227" s="25">
        <f t="shared" si="237"/>
        <v>0</v>
      </c>
      <c r="AF227" s="25">
        <f t="shared" si="238"/>
        <v>0</v>
      </c>
      <c r="AG227" s="25">
        <f t="shared" si="239"/>
        <v>0</v>
      </c>
      <c r="AH227" s="25">
        <f t="shared" si="240"/>
        <v>0</v>
      </c>
      <c r="AI227" s="11" t="s">
        <v>46</v>
      </c>
      <c r="AJ227" s="25">
        <f t="shared" si="241"/>
        <v>0</v>
      </c>
      <c r="AK227" s="25">
        <f t="shared" si="242"/>
        <v>0</v>
      </c>
      <c r="AL227" s="25">
        <f t="shared" si="243"/>
        <v>0</v>
      </c>
      <c r="AN227" s="25">
        <v>21</v>
      </c>
      <c r="AO227" s="25">
        <f t="shared" si="228"/>
        <v>0</v>
      </c>
      <c r="AP227" s="25">
        <f t="shared" si="229"/>
        <v>0</v>
      </c>
      <c r="AQ227" s="27" t="s">
        <v>76</v>
      </c>
      <c r="AV227" s="25">
        <f t="shared" si="244"/>
        <v>0</v>
      </c>
      <c r="AW227" s="25">
        <f t="shared" si="245"/>
        <v>0</v>
      </c>
      <c r="AX227" s="25">
        <f t="shared" si="246"/>
        <v>0</v>
      </c>
      <c r="AY227" s="27" t="s">
        <v>584</v>
      </c>
      <c r="AZ227" s="27" t="s">
        <v>585</v>
      </c>
      <c r="BA227" s="11" t="s">
        <v>56</v>
      </c>
      <c r="BC227" s="25">
        <f t="shared" si="247"/>
        <v>0</v>
      </c>
      <c r="BD227" s="25">
        <f t="shared" si="248"/>
        <v>0</v>
      </c>
      <c r="BE227" s="25">
        <v>0</v>
      </c>
      <c r="BF227" s="25">
        <f>227</f>
        <v>227</v>
      </c>
      <c r="BH227" s="25">
        <f t="shared" si="249"/>
        <v>0</v>
      </c>
      <c r="BI227" s="25">
        <f t="shared" si="250"/>
        <v>0</v>
      </c>
      <c r="BJ227" s="25">
        <f t="shared" si="251"/>
        <v>0</v>
      </c>
      <c r="BK227" s="27" t="s">
        <v>57</v>
      </c>
      <c r="BL227" s="25">
        <v>721</v>
      </c>
      <c r="BW227" s="25">
        <v>21</v>
      </c>
      <c r="BX227" s="5" t="s">
        <v>699</v>
      </c>
    </row>
    <row r="228" spans="1:76" ht="25.5" x14ac:dyDescent="0.25">
      <c r="A228" s="2" t="s">
        <v>700</v>
      </c>
      <c r="B228" s="3" t="s">
        <v>701</v>
      </c>
      <c r="C228" s="93" t="s">
        <v>702</v>
      </c>
      <c r="D228" s="94"/>
      <c r="E228" s="3" t="s">
        <v>52</v>
      </c>
      <c r="F228" s="25">
        <v>8</v>
      </c>
      <c r="G228" s="25">
        <v>0</v>
      </c>
      <c r="H228" s="25">
        <f t="shared" si="230"/>
        <v>0</v>
      </c>
      <c r="I228" s="25">
        <f t="shared" si="231"/>
        <v>0</v>
      </c>
      <c r="J228" s="25">
        <f t="shared" si="232"/>
        <v>0</v>
      </c>
      <c r="K228" s="26" t="s">
        <v>53</v>
      </c>
      <c r="Z228" s="25">
        <f t="shared" si="233"/>
        <v>0</v>
      </c>
      <c r="AB228" s="25">
        <f t="shared" si="234"/>
        <v>0</v>
      </c>
      <c r="AC228" s="25">
        <f t="shared" si="235"/>
        <v>0</v>
      </c>
      <c r="AD228" s="25">
        <f t="shared" si="236"/>
        <v>0</v>
      </c>
      <c r="AE228" s="25">
        <f t="shared" si="237"/>
        <v>0</v>
      </c>
      <c r="AF228" s="25">
        <f t="shared" si="238"/>
        <v>0</v>
      </c>
      <c r="AG228" s="25">
        <f t="shared" si="239"/>
        <v>0</v>
      </c>
      <c r="AH228" s="25">
        <f t="shared" si="240"/>
        <v>0</v>
      </c>
      <c r="AI228" s="11" t="s">
        <v>46</v>
      </c>
      <c r="AJ228" s="25">
        <f t="shared" si="241"/>
        <v>0</v>
      </c>
      <c r="AK228" s="25">
        <f t="shared" si="242"/>
        <v>0</v>
      </c>
      <c r="AL228" s="25">
        <f t="shared" si="243"/>
        <v>0</v>
      </c>
      <c r="AN228" s="25">
        <v>21</v>
      </c>
      <c r="AO228" s="25">
        <f t="shared" si="228"/>
        <v>0</v>
      </c>
      <c r="AP228" s="25">
        <f t="shared" si="229"/>
        <v>0</v>
      </c>
      <c r="AQ228" s="27" t="s">
        <v>76</v>
      </c>
      <c r="AV228" s="25">
        <f t="shared" si="244"/>
        <v>0</v>
      </c>
      <c r="AW228" s="25">
        <f t="shared" si="245"/>
        <v>0</v>
      </c>
      <c r="AX228" s="25">
        <f t="shared" si="246"/>
        <v>0</v>
      </c>
      <c r="AY228" s="27" t="s">
        <v>584</v>
      </c>
      <c r="AZ228" s="27" t="s">
        <v>585</v>
      </c>
      <c r="BA228" s="11" t="s">
        <v>56</v>
      </c>
      <c r="BC228" s="25">
        <f t="shared" si="247"/>
        <v>0</v>
      </c>
      <c r="BD228" s="25">
        <f t="shared" si="248"/>
        <v>0</v>
      </c>
      <c r="BE228" s="25">
        <v>0</v>
      </c>
      <c r="BF228" s="25">
        <f>228</f>
        <v>228</v>
      </c>
      <c r="BH228" s="25">
        <f t="shared" si="249"/>
        <v>0</v>
      </c>
      <c r="BI228" s="25">
        <f t="shared" si="250"/>
        <v>0</v>
      </c>
      <c r="BJ228" s="25">
        <f t="shared" si="251"/>
        <v>0</v>
      </c>
      <c r="BK228" s="27" t="s">
        <v>57</v>
      </c>
      <c r="BL228" s="25">
        <v>721</v>
      </c>
      <c r="BW228" s="25">
        <v>21</v>
      </c>
      <c r="BX228" s="5" t="s">
        <v>702</v>
      </c>
    </row>
    <row r="229" spans="1:76" x14ac:dyDescent="0.25">
      <c r="A229" s="2" t="s">
        <v>703</v>
      </c>
      <c r="B229" s="3" t="s">
        <v>704</v>
      </c>
      <c r="C229" s="93" t="s">
        <v>705</v>
      </c>
      <c r="D229" s="94"/>
      <c r="E229" s="3" t="s">
        <v>52</v>
      </c>
      <c r="F229" s="25">
        <v>4</v>
      </c>
      <c r="G229" s="25">
        <v>0</v>
      </c>
      <c r="H229" s="25">
        <f t="shared" si="230"/>
        <v>0</v>
      </c>
      <c r="I229" s="25">
        <f t="shared" si="231"/>
        <v>0</v>
      </c>
      <c r="J229" s="25">
        <f t="shared" si="232"/>
        <v>0</v>
      </c>
      <c r="K229" s="26" t="s">
        <v>53</v>
      </c>
      <c r="Z229" s="25">
        <f t="shared" si="233"/>
        <v>0</v>
      </c>
      <c r="AB229" s="25">
        <f t="shared" si="234"/>
        <v>0</v>
      </c>
      <c r="AC229" s="25">
        <f t="shared" si="235"/>
        <v>0</v>
      </c>
      <c r="AD229" s="25">
        <f t="shared" si="236"/>
        <v>0</v>
      </c>
      <c r="AE229" s="25">
        <f t="shared" si="237"/>
        <v>0</v>
      </c>
      <c r="AF229" s="25">
        <f t="shared" si="238"/>
        <v>0</v>
      </c>
      <c r="AG229" s="25">
        <f t="shared" si="239"/>
        <v>0</v>
      </c>
      <c r="AH229" s="25">
        <f t="shared" si="240"/>
        <v>0</v>
      </c>
      <c r="AI229" s="11" t="s">
        <v>46</v>
      </c>
      <c r="AJ229" s="25">
        <f t="shared" si="241"/>
        <v>0</v>
      </c>
      <c r="AK229" s="25">
        <f t="shared" si="242"/>
        <v>0</v>
      </c>
      <c r="AL229" s="25">
        <f t="shared" si="243"/>
        <v>0</v>
      </c>
      <c r="AN229" s="25">
        <v>21</v>
      </c>
      <c r="AO229" s="25">
        <f t="shared" si="228"/>
        <v>0</v>
      </c>
      <c r="AP229" s="25">
        <f t="shared" si="229"/>
        <v>0</v>
      </c>
      <c r="AQ229" s="27" t="s">
        <v>76</v>
      </c>
      <c r="AV229" s="25">
        <f t="shared" si="244"/>
        <v>0</v>
      </c>
      <c r="AW229" s="25">
        <f t="shared" si="245"/>
        <v>0</v>
      </c>
      <c r="AX229" s="25">
        <f t="shared" si="246"/>
        <v>0</v>
      </c>
      <c r="AY229" s="27" t="s">
        <v>584</v>
      </c>
      <c r="AZ229" s="27" t="s">
        <v>585</v>
      </c>
      <c r="BA229" s="11" t="s">
        <v>56</v>
      </c>
      <c r="BC229" s="25">
        <f t="shared" si="247"/>
        <v>0</v>
      </c>
      <c r="BD229" s="25">
        <f t="shared" si="248"/>
        <v>0</v>
      </c>
      <c r="BE229" s="25">
        <v>0</v>
      </c>
      <c r="BF229" s="25">
        <f>229</f>
        <v>229</v>
      </c>
      <c r="BH229" s="25">
        <f t="shared" si="249"/>
        <v>0</v>
      </c>
      <c r="BI229" s="25">
        <f t="shared" si="250"/>
        <v>0</v>
      </c>
      <c r="BJ229" s="25">
        <f t="shared" si="251"/>
        <v>0</v>
      </c>
      <c r="BK229" s="27" t="s">
        <v>57</v>
      </c>
      <c r="BL229" s="25">
        <v>721</v>
      </c>
      <c r="BW229" s="25">
        <v>21</v>
      </c>
      <c r="BX229" s="5" t="s">
        <v>705</v>
      </c>
    </row>
    <row r="230" spans="1:76" ht="25.5" x14ac:dyDescent="0.25">
      <c r="A230" s="2" t="s">
        <v>706</v>
      </c>
      <c r="B230" s="3" t="s">
        <v>707</v>
      </c>
      <c r="C230" s="93" t="s">
        <v>708</v>
      </c>
      <c r="D230" s="94"/>
      <c r="E230" s="3" t="s">
        <v>52</v>
      </c>
      <c r="F230" s="25">
        <v>5</v>
      </c>
      <c r="G230" s="25">
        <v>0</v>
      </c>
      <c r="H230" s="25">
        <f t="shared" si="230"/>
        <v>0</v>
      </c>
      <c r="I230" s="25">
        <f t="shared" si="231"/>
        <v>0</v>
      </c>
      <c r="J230" s="25">
        <f t="shared" si="232"/>
        <v>0</v>
      </c>
      <c r="K230" s="26" t="s">
        <v>53</v>
      </c>
      <c r="Z230" s="25">
        <f t="shared" si="233"/>
        <v>0</v>
      </c>
      <c r="AB230" s="25">
        <f t="shared" si="234"/>
        <v>0</v>
      </c>
      <c r="AC230" s="25">
        <f t="shared" si="235"/>
        <v>0</v>
      </c>
      <c r="AD230" s="25">
        <f t="shared" si="236"/>
        <v>0</v>
      </c>
      <c r="AE230" s="25">
        <f t="shared" si="237"/>
        <v>0</v>
      </c>
      <c r="AF230" s="25">
        <f t="shared" si="238"/>
        <v>0</v>
      </c>
      <c r="AG230" s="25">
        <f t="shared" si="239"/>
        <v>0</v>
      </c>
      <c r="AH230" s="25">
        <f t="shared" si="240"/>
        <v>0</v>
      </c>
      <c r="AI230" s="11" t="s">
        <v>46</v>
      </c>
      <c r="AJ230" s="25">
        <f t="shared" si="241"/>
        <v>0</v>
      </c>
      <c r="AK230" s="25">
        <f t="shared" si="242"/>
        <v>0</v>
      </c>
      <c r="AL230" s="25">
        <f t="shared" si="243"/>
        <v>0</v>
      </c>
      <c r="AN230" s="25">
        <v>21</v>
      </c>
      <c r="AO230" s="25">
        <f t="shared" si="228"/>
        <v>0</v>
      </c>
      <c r="AP230" s="25">
        <f t="shared" si="229"/>
        <v>0</v>
      </c>
      <c r="AQ230" s="27" t="s">
        <v>76</v>
      </c>
      <c r="AV230" s="25">
        <f t="shared" si="244"/>
        <v>0</v>
      </c>
      <c r="AW230" s="25">
        <f t="shared" si="245"/>
        <v>0</v>
      </c>
      <c r="AX230" s="25">
        <f t="shared" si="246"/>
        <v>0</v>
      </c>
      <c r="AY230" s="27" t="s">
        <v>584</v>
      </c>
      <c r="AZ230" s="27" t="s">
        <v>585</v>
      </c>
      <c r="BA230" s="11" t="s">
        <v>56</v>
      </c>
      <c r="BC230" s="25">
        <f t="shared" si="247"/>
        <v>0</v>
      </c>
      <c r="BD230" s="25">
        <f t="shared" si="248"/>
        <v>0</v>
      </c>
      <c r="BE230" s="25">
        <v>0</v>
      </c>
      <c r="BF230" s="25">
        <f>230</f>
        <v>230</v>
      </c>
      <c r="BH230" s="25">
        <f t="shared" si="249"/>
        <v>0</v>
      </c>
      <c r="BI230" s="25">
        <f t="shared" si="250"/>
        <v>0</v>
      </c>
      <c r="BJ230" s="25">
        <f t="shared" si="251"/>
        <v>0</v>
      </c>
      <c r="BK230" s="27" t="s">
        <v>57</v>
      </c>
      <c r="BL230" s="25">
        <v>721</v>
      </c>
      <c r="BW230" s="25">
        <v>21</v>
      </c>
      <c r="BX230" s="5" t="s">
        <v>708</v>
      </c>
    </row>
    <row r="231" spans="1:76" x14ac:dyDescent="0.25">
      <c r="A231" s="2" t="s">
        <v>709</v>
      </c>
      <c r="B231" s="3" t="s">
        <v>710</v>
      </c>
      <c r="C231" s="93" t="s">
        <v>711</v>
      </c>
      <c r="D231" s="94"/>
      <c r="E231" s="3" t="s">
        <v>52</v>
      </c>
      <c r="F231" s="25">
        <v>1</v>
      </c>
      <c r="G231" s="25">
        <v>0</v>
      </c>
      <c r="H231" s="25">
        <f t="shared" si="230"/>
        <v>0</v>
      </c>
      <c r="I231" s="25">
        <f t="shared" si="231"/>
        <v>0</v>
      </c>
      <c r="J231" s="25">
        <f t="shared" si="232"/>
        <v>0</v>
      </c>
      <c r="K231" s="26" t="s">
        <v>53</v>
      </c>
      <c r="Z231" s="25">
        <f t="shared" si="233"/>
        <v>0</v>
      </c>
      <c r="AB231" s="25">
        <f t="shared" si="234"/>
        <v>0</v>
      </c>
      <c r="AC231" s="25">
        <f t="shared" si="235"/>
        <v>0</v>
      </c>
      <c r="AD231" s="25">
        <f t="shared" si="236"/>
        <v>0</v>
      </c>
      <c r="AE231" s="25">
        <f t="shared" si="237"/>
        <v>0</v>
      </c>
      <c r="AF231" s="25">
        <f t="shared" si="238"/>
        <v>0</v>
      </c>
      <c r="AG231" s="25">
        <f t="shared" si="239"/>
        <v>0</v>
      </c>
      <c r="AH231" s="25">
        <f t="shared" si="240"/>
        <v>0</v>
      </c>
      <c r="AI231" s="11" t="s">
        <v>46</v>
      </c>
      <c r="AJ231" s="25">
        <f t="shared" si="241"/>
        <v>0</v>
      </c>
      <c r="AK231" s="25">
        <f t="shared" si="242"/>
        <v>0</v>
      </c>
      <c r="AL231" s="25">
        <f t="shared" si="243"/>
        <v>0</v>
      </c>
      <c r="AN231" s="25">
        <v>21</v>
      </c>
      <c r="AO231" s="25">
        <f t="shared" si="228"/>
        <v>0</v>
      </c>
      <c r="AP231" s="25">
        <f t="shared" si="229"/>
        <v>0</v>
      </c>
      <c r="AQ231" s="27" t="s">
        <v>76</v>
      </c>
      <c r="AV231" s="25">
        <f t="shared" si="244"/>
        <v>0</v>
      </c>
      <c r="AW231" s="25">
        <f t="shared" si="245"/>
        <v>0</v>
      </c>
      <c r="AX231" s="25">
        <f t="shared" si="246"/>
        <v>0</v>
      </c>
      <c r="AY231" s="27" t="s">
        <v>584</v>
      </c>
      <c r="AZ231" s="27" t="s">
        <v>585</v>
      </c>
      <c r="BA231" s="11" t="s">
        <v>56</v>
      </c>
      <c r="BC231" s="25">
        <f t="shared" si="247"/>
        <v>0</v>
      </c>
      <c r="BD231" s="25">
        <f t="shared" si="248"/>
        <v>0</v>
      </c>
      <c r="BE231" s="25">
        <v>0</v>
      </c>
      <c r="BF231" s="25">
        <f>231</f>
        <v>231</v>
      </c>
      <c r="BH231" s="25">
        <f t="shared" si="249"/>
        <v>0</v>
      </c>
      <c r="BI231" s="25">
        <f t="shared" si="250"/>
        <v>0</v>
      </c>
      <c r="BJ231" s="25">
        <f t="shared" si="251"/>
        <v>0</v>
      </c>
      <c r="BK231" s="27" t="s">
        <v>57</v>
      </c>
      <c r="BL231" s="25">
        <v>721</v>
      </c>
      <c r="BW231" s="25">
        <v>21</v>
      </c>
      <c r="BX231" s="5" t="s">
        <v>711</v>
      </c>
    </row>
    <row r="232" spans="1:76" ht="25.5" x14ac:dyDescent="0.25">
      <c r="A232" s="2" t="s">
        <v>712</v>
      </c>
      <c r="B232" s="3" t="s">
        <v>713</v>
      </c>
      <c r="C232" s="93" t="s">
        <v>714</v>
      </c>
      <c r="D232" s="94"/>
      <c r="E232" s="3" t="s">
        <v>52</v>
      </c>
      <c r="F232" s="25">
        <v>1</v>
      </c>
      <c r="G232" s="25">
        <v>0</v>
      </c>
      <c r="H232" s="25">
        <f t="shared" si="230"/>
        <v>0</v>
      </c>
      <c r="I232" s="25">
        <f t="shared" si="231"/>
        <v>0</v>
      </c>
      <c r="J232" s="25">
        <f t="shared" si="232"/>
        <v>0</v>
      </c>
      <c r="K232" s="26" t="s">
        <v>53</v>
      </c>
      <c r="Z232" s="25">
        <f t="shared" si="233"/>
        <v>0</v>
      </c>
      <c r="AB232" s="25">
        <f t="shared" si="234"/>
        <v>0</v>
      </c>
      <c r="AC232" s="25">
        <f t="shared" si="235"/>
        <v>0</v>
      </c>
      <c r="AD232" s="25">
        <f t="shared" si="236"/>
        <v>0</v>
      </c>
      <c r="AE232" s="25">
        <f t="shared" si="237"/>
        <v>0</v>
      </c>
      <c r="AF232" s="25">
        <f t="shared" si="238"/>
        <v>0</v>
      </c>
      <c r="AG232" s="25">
        <f t="shared" si="239"/>
        <v>0</v>
      </c>
      <c r="AH232" s="25">
        <f t="shared" si="240"/>
        <v>0</v>
      </c>
      <c r="AI232" s="11" t="s">
        <v>46</v>
      </c>
      <c r="AJ232" s="25">
        <f t="shared" si="241"/>
        <v>0</v>
      </c>
      <c r="AK232" s="25">
        <f t="shared" si="242"/>
        <v>0</v>
      </c>
      <c r="AL232" s="25">
        <f t="shared" si="243"/>
        <v>0</v>
      </c>
      <c r="AN232" s="25">
        <v>21</v>
      </c>
      <c r="AO232" s="25">
        <f t="shared" si="228"/>
        <v>0</v>
      </c>
      <c r="AP232" s="25">
        <f t="shared" si="229"/>
        <v>0</v>
      </c>
      <c r="AQ232" s="27" t="s">
        <v>76</v>
      </c>
      <c r="AV232" s="25">
        <f t="shared" si="244"/>
        <v>0</v>
      </c>
      <c r="AW232" s="25">
        <f t="shared" si="245"/>
        <v>0</v>
      </c>
      <c r="AX232" s="25">
        <f t="shared" si="246"/>
        <v>0</v>
      </c>
      <c r="AY232" s="27" t="s">
        <v>584</v>
      </c>
      <c r="AZ232" s="27" t="s">
        <v>585</v>
      </c>
      <c r="BA232" s="11" t="s">
        <v>56</v>
      </c>
      <c r="BC232" s="25">
        <f t="shared" si="247"/>
        <v>0</v>
      </c>
      <c r="BD232" s="25">
        <f t="shared" si="248"/>
        <v>0</v>
      </c>
      <c r="BE232" s="25">
        <v>0</v>
      </c>
      <c r="BF232" s="25">
        <f>232</f>
        <v>232</v>
      </c>
      <c r="BH232" s="25">
        <f t="shared" si="249"/>
        <v>0</v>
      </c>
      <c r="BI232" s="25">
        <f t="shared" si="250"/>
        <v>0</v>
      </c>
      <c r="BJ232" s="25">
        <f t="shared" si="251"/>
        <v>0</v>
      </c>
      <c r="BK232" s="27" t="s">
        <v>57</v>
      </c>
      <c r="BL232" s="25">
        <v>721</v>
      </c>
      <c r="BW232" s="25">
        <v>21</v>
      </c>
      <c r="BX232" s="5" t="s">
        <v>714</v>
      </c>
    </row>
    <row r="233" spans="1:76" x14ac:dyDescent="0.25">
      <c r="A233" s="2" t="s">
        <v>715</v>
      </c>
      <c r="B233" s="3" t="s">
        <v>716</v>
      </c>
      <c r="C233" s="93" t="s">
        <v>717</v>
      </c>
      <c r="D233" s="94"/>
      <c r="E233" s="3" t="s">
        <v>52</v>
      </c>
      <c r="F233" s="25">
        <v>1</v>
      </c>
      <c r="G233" s="25">
        <v>0</v>
      </c>
      <c r="H233" s="25">
        <f t="shared" si="230"/>
        <v>0</v>
      </c>
      <c r="I233" s="25">
        <f t="shared" si="231"/>
        <v>0</v>
      </c>
      <c r="J233" s="25">
        <f t="shared" si="232"/>
        <v>0</v>
      </c>
      <c r="K233" s="26" t="s">
        <v>53</v>
      </c>
      <c r="Z233" s="25">
        <f t="shared" si="233"/>
        <v>0</v>
      </c>
      <c r="AB233" s="25">
        <f t="shared" si="234"/>
        <v>0</v>
      </c>
      <c r="AC233" s="25">
        <f t="shared" si="235"/>
        <v>0</v>
      </c>
      <c r="AD233" s="25">
        <f t="shared" si="236"/>
        <v>0</v>
      </c>
      <c r="AE233" s="25">
        <f t="shared" si="237"/>
        <v>0</v>
      </c>
      <c r="AF233" s="25">
        <f t="shared" si="238"/>
        <v>0</v>
      </c>
      <c r="AG233" s="25">
        <f t="shared" si="239"/>
        <v>0</v>
      </c>
      <c r="AH233" s="25">
        <f t="shared" si="240"/>
        <v>0</v>
      </c>
      <c r="AI233" s="11" t="s">
        <v>46</v>
      </c>
      <c r="AJ233" s="25">
        <f t="shared" si="241"/>
        <v>0</v>
      </c>
      <c r="AK233" s="25">
        <f t="shared" si="242"/>
        <v>0</v>
      </c>
      <c r="AL233" s="25">
        <f t="shared" si="243"/>
        <v>0</v>
      </c>
      <c r="AN233" s="25">
        <v>21</v>
      </c>
      <c r="AO233" s="25">
        <f t="shared" si="228"/>
        <v>0</v>
      </c>
      <c r="AP233" s="25">
        <f t="shared" si="229"/>
        <v>0</v>
      </c>
      <c r="AQ233" s="27" t="s">
        <v>76</v>
      </c>
      <c r="AV233" s="25">
        <f t="shared" si="244"/>
        <v>0</v>
      </c>
      <c r="AW233" s="25">
        <f t="shared" si="245"/>
        <v>0</v>
      </c>
      <c r="AX233" s="25">
        <f t="shared" si="246"/>
        <v>0</v>
      </c>
      <c r="AY233" s="27" t="s">
        <v>584</v>
      </c>
      <c r="AZ233" s="27" t="s">
        <v>585</v>
      </c>
      <c r="BA233" s="11" t="s">
        <v>56</v>
      </c>
      <c r="BC233" s="25">
        <f t="shared" si="247"/>
        <v>0</v>
      </c>
      <c r="BD233" s="25">
        <f t="shared" si="248"/>
        <v>0</v>
      </c>
      <c r="BE233" s="25">
        <v>0</v>
      </c>
      <c r="BF233" s="25">
        <f>233</f>
        <v>233</v>
      </c>
      <c r="BH233" s="25">
        <f t="shared" si="249"/>
        <v>0</v>
      </c>
      <c r="BI233" s="25">
        <f t="shared" si="250"/>
        <v>0</v>
      </c>
      <c r="BJ233" s="25">
        <f t="shared" si="251"/>
        <v>0</v>
      </c>
      <c r="BK233" s="27" t="s">
        <v>57</v>
      </c>
      <c r="BL233" s="25">
        <v>721</v>
      </c>
      <c r="BW233" s="25">
        <v>21</v>
      </c>
      <c r="BX233" s="5" t="s">
        <v>717</v>
      </c>
    </row>
    <row r="234" spans="1:76" ht="25.5" x14ac:dyDescent="0.25">
      <c r="A234" s="2" t="s">
        <v>718</v>
      </c>
      <c r="B234" s="3" t="s">
        <v>719</v>
      </c>
      <c r="C234" s="93" t="s">
        <v>720</v>
      </c>
      <c r="D234" s="94"/>
      <c r="E234" s="3" t="s">
        <v>52</v>
      </c>
      <c r="F234" s="25">
        <v>1</v>
      </c>
      <c r="G234" s="25">
        <v>0</v>
      </c>
      <c r="H234" s="25">
        <f t="shared" si="230"/>
        <v>0</v>
      </c>
      <c r="I234" s="25">
        <f t="shared" si="231"/>
        <v>0</v>
      </c>
      <c r="J234" s="25">
        <f t="shared" si="232"/>
        <v>0</v>
      </c>
      <c r="K234" s="26" t="s">
        <v>53</v>
      </c>
      <c r="Z234" s="25">
        <f t="shared" si="233"/>
        <v>0</v>
      </c>
      <c r="AB234" s="25">
        <f t="shared" si="234"/>
        <v>0</v>
      </c>
      <c r="AC234" s="25">
        <f t="shared" si="235"/>
        <v>0</v>
      </c>
      <c r="AD234" s="25">
        <f t="shared" si="236"/>
        <v>0</v>
      </c>
      <c r="AE234" s="25">
        <f t="shared" si="237"/>
        <v>0</v>
      </c>
      <c r="AF234" s="25">
        <f t="shared" si="238"/>
        <v>0</v>
      </c>
      <c r="AG234" s="25">
        <f t="shared" si="239"/>
        <v>0</v>
      </c>
      <c r="AH234" s="25">
        <f t="shared" si="240"/>
        <v>0</v>
      </c>
      <c r="AI234" s="11" t="s">
        <v>46</v>
      </c>
      <c r="AJ234" s="25">
        <f t="shared" si="241"/>
        <v>0</v>
      </c>
      <c r="AK234" s="25">
        <f t="shared" si="242"/>
        <v>0</v>
      </c>
      <c r="AL234" s="25">
        <f t="shared" si="243"/>
        <v>0</v>
      </c>
      <c r="AN234" s="25">
        <v>21</v>
      </c>
      <c r="AO234" s="25">
        <f t="shared" ref="AO234:AO255" si="252">G234*0.52</f>
        <v>0</v>
      </c>
      <c r="AP234" s="25">
        <f t="shared" ref="AP234:AP255" si="253">G234*(1-0.52)</f>
        <v>0</v>
      </c>
      <c r="AQ234" s="27" t="s">
        <v>76</v>
      </c>
      <c r="AV234" s="25">
        <f t="shared" si="244"/>
        <v>0</v>
      </c>
      <c r="AW234" s="25">
        <f t="shared" si="245"/>
        <v>0</v>
      </c>
      <c r="AX234" s="25">
        <f t="shared" si="246"/>
        <v>0</v>
      </c>
      <c r="AY234" s="27" t="s">
        <v>584</v>
      </c>
      <c r="AZ234" s="27" t="s">
        <v>585</v>
      </c>
      <c r="BA234" s="11" t="s">
        <v>56</v>
      </c>
      <c r="BC234" s="25">
        <f t="shared" si="247"/>
        <v>0</v>
      </c>
      <c r="BD234" s="25">
        <f t="shared" si="248"/>
        <v>0</v>
      </c>
      <c r="BE234" s="25">
        <v>0</v>
      </c>
      <c r="BF234" s="25">
        <f>234</f>
        <v>234</v>
      </c>
      <c r="BH234" s="25">
        <f t="shared" si="249"/>
        <v>0</v>
      </c>
      <c r="BI234" s="25">
        <f t="shared" si="250"/>
        <v>0</v>
      </c>
      <c r="BJ234" s="25">
        <f t="shared" si="251"/>
        <v>0</v>
      </c>
      <c r="BK234" s="27" t="s">
        <v>57</v>
      </c>
      <c r="BL234" s="25">
        <v>721</v>
      </c>
      <c r="BW234" s="25">
        <v>21</v>
      </c>
      <c r="BX234" s="5" t="s">
        <v>720</v>
      </c>
    </row>
    <row r="235" spans="1:76" x14ac:dyDescent="0.25">
      <c r="A235" s="2" t="s">
        <v>721</v>
      </c>
      <c r="B235" s="3" t="s">
        <v>722</v>
      </c>
      <c r="C235" s="93" t="s">
        <v>723</v>
      </c>
      <c r="D235" s="94"/>
      <c r="E235" s="3" t="s">
        <v>52</v>
      </c>
      <c r="F235" s="25">
        <v>1</v>
      </c>
      <c r="G235" s="25">
        <v>0</v>
      </c>
      <c r="H235" s="25">
        <f t="shared" si="230"/>
        <v>0</v>
      </c>
      <c r="I235" s="25">
        <f t="shared" si="231"/>
        <v>0</v>
      </c>
      <c r="J235" s="25">
        <f t="shared" si="232"/>
        <v>0</v>
      </c>
      <c r="K235" s="26" t="s">
        <v>53</v>
      </c>
      <c r="Z235" s="25">
        <f t="shared" si="233"/>
        <v>0</v>
      </c>
      <c r="AB235" s="25">
        <f t="shared" si="234"/>
        <v>0</v>
      </c>
      <c r="AC235" s="25">
        <f t="shared" si="235"/>
        <v>0</v>
      </c>
      <c r="AD235" s="25">
        <f t="shared" si="236"/>
        <v>0</v>
      </c>
      <c r="AE235" s="25">
        <f t="shared" si="237"/>
        <v>0</v>
      </c>
      <c r="AF235" s="25">
        <f t="shared" si="238"/>
        <v>0</v>
      </c>
      <c r="AG235" s="25">
        <f t="shared" si="239"/>
        <v>0</v>
      </c>
      <c r="AH235" s="25">
        <f t="shared" si="240"/>
        <v>0</v>
      </c>
      <c r="AI235" s="11" t="s">
        <v>46</v>
      </c>
      <c r="AJ235" s="25">
        <f t="shared" si="241"/>
        <v>0</v>
      </c>
      <c r="AK235" s="25">
        <f t="shared" si="242"/>
        <v>0</v>
      </c>
      <c r="AL235" s="25">
        <f t="shared" si="243"/>
        <v>0</v>
      </c>
      <c r="AN235" s="25">
        <v>21</v>
      </c>
      <c r="AO235" s="25">
        <f t="shared" si="252"/>
        <v>0</v>
      </c>
      <c r="AP235" s="25">
        <f t="shared" si="253"/>
        <v>0</v>
      </c>
      <c r="AQ235" s="27" t="s">
        <v>76</v>
      </c>
      <c r="AV235" s="25">
        <f t="shared" si="244"/>
        <v>0</v>
      </c>
      <c r="AW235" s="25">
        <f t="shared" si="245"/>
        <v>0</v>
      </c>
      <c r="AX235" s="25">
        <f t="shared" si="246"/>
        <v>0</v>
      </c>
      <c r="AY235" s="27" t="s">
        <v>584</v>
      </c>
      <c r="AZ235" s="27" t="s">
        <v>585</v>
      </c>
      <c r="BA235" s="11" t="s">
        <v>56</v>
      </c>
      <c r="BC235" s="25">
        <f t="shared" si="247"/>
        <v>0</v>
      </c>
      <c r="BD235" s="25">
        <f t="shared" si="248"/>
        <v>0</v>
      </c>
      <c r="BE235" s="25">
        <v>0</v>
      </c>
      <c r="BF235" s="25">
        <f>235</f>
        <v>235</v>
      </c>
      <c r="BH235" s="25">
        <f t="shared" si="249"/>
        <v>0</v>
      </c>
      <c r="BI235" s="25">
        <f t="shared" si="250"/>
        <v>0</v>
      </c>
      <c r="BJ235" s="25">
        <f t="shared" si="251"/>
        <v>0</v>
      </c>
      <c r="BK235" s="27" t="s">
        <v>57</v>
      </c>
      <c r="BL235" s="25">
        <v>721</v>
      </c>
      <c r="BW235" s="25">
        <v>21</v>
      </c>
      <c r="BX235" s="5" t="s">
        <v>723</v>
      </c>
    </row>
    <row r="236" spans="1:76" ht="25.5" x14ac:dyDescent="0.25">
      <c r="A236" s="2" t="s">
        <v>724</v>
      </c>
      <c r="B236" s="3" t="s">
        <v>725</v>
      </c>
      <c r="C236" s="93" t="s">
        <v>726</v>
      </c>
      <c r="D236" s="94"/>
      <c r="E236" s="3" t="s">
        <v>52</v>
      </c>
      <c r="F236" s="25">
        <v>12</v>
      </c>
      <c r="G236" s="25">
        <v>0</v>
      </c>
      <c r="H236" s="25">
        <f t="shared" si="230"/>
        <v>0</v>
      </c>
      <c r="I236" s="25">
        <f t="shared" si="231"/>
        <v>0</v>
      </c>
      <c r="J236" s="25">
        <f t="shared" si="232"/>
        <v>0</v>
      </c>
      <c r="K236" s="26" t="s">
        <v>53</v>
      </c>
      <c r="Z236" s="25">
        <f t="shared" si="233"/>
        <v>0</v>
      </c>
      <c r="AB236" s="25">
        <f t="shared" si="234"/>
        <v>0</v>
      </c>
      <c r="AC236" s="25">
        <f t="shared" si="235"/>
        <v>0</v>
      </c>
      <c r="AD236" s="25">
        <f t="shared" si="236"/>
        <v>0</v>
      </c>
      <c r="AE236" s="25">
        <f t="shared" si="237"/>
        <v>0</v>
      </c>
      <c r="AF236" s="25">
        <f t="shared" si="238"/>
        <v>0</v>
      </c>
      <c r="AG236" s="25">
        <f t="shared" si="239"/>
        <v>0</v>
      </c>
      <c r="AH236" s="25">
        <f t="shared" si="240"/>
        <v>0</v>
      </c>
      <c r="AI236" s="11" t="s">
        <v>46</v>
      </c>
      <c r="AJ236" s="25">
        <f t="shared" si="241"/>
        <v>0</v>
      </c>
      <c r="AK236" s="25">
        <f t="shared" si="242"/>
        <v>0</v>
      </c>
      <c r="AL236" s="25">
        <f t="shared" si="243"/>
        <v>0</v>
      </c>
      <c r="AN236" s="25">
        <v>21</v>
      </c>
      <c r="AO236" s="25">
        <f t="shared" si="252"/>
        <v>0</v>
      </c>
      <c r="AP236" s="25">
        <f t="shared" si="253"/>
        <v>0</v>
      </c>
      <c r="AQ236" s="27" t="s">
        <v>76</v>
      </c>
      <c r="AV236" s="25">
        <f t="shared" si="244"/>
        <v>0</v>
      </c>
      <c r="AW236" s="25">
        <f t="shared" si="245"/>
        <v>0</v>
      </c>
      <c r="AX236" s="25">
        <f t="shared" si="246"/>
        <v>0</v>
      </c>
      <c r="AY236" s="27" t="s">
        <v>584</v>
      </c>
      <c r="AZ236" s="27" t="s">
        <v>585</v>
      </c>
      <c r="BA236" s="11" t="s">
        <v>56</v>
      </c>
      <c r="BC236" s="25">
        <f t="shared" si="247"/>
        <v>0</v>
      </c>
      <c r="BD236" s="25">
        <f t="shared" si="248"/>
        <v>0</v>
      </c>
      <c r="BE236" s="25">
        <v>0</v>
      </c>
      <c r="BF236" s="25">
        <f>236</f>
        <v>236</v>
      </c>
      <c r="BH236" s="25">
        <f t="shared" si="249"/>
        <v>0</v>
      </c>
      <c r="BI236" s="25">
        <f t="shared" si="250"/>
        <v>0</v>
      </c>
      <c r="BJ236" s="25">
        <f t="shared" si="251"/>
        <v>0</v>
      </c>
      <c r="BK236" s="27" t="s">
        <v>57</v>
      </c>
      <c r="BL236" s="25">
        <v>721</v>
      </c>
      <c r="BW236" s="25">
        <v>21</v>
      </c>
      <c r="BX236" s="5" t="s">
        <v>726</v>
      </c>
    </row>
    <row r="237" spans="1:76" ht="25.5" x14ac:dyDescent="0.25">
      <c r="A237" s="2" t="s">
        <v>727</v>
      </c>
      <c r="B237" s="3" t="s">
        <v>728</v>
      </c>
      <c r="C237" s="93" t="s">
        <v>729</v>
      </c>
      <c r="D237" s="94"/>
      <c r="E237" s="3" t="s">
        <v>52</v>
      </c>
      <c r="F237" s="25">
        <v>3</v>
      </c>
      <c r="G237" s="25">
        <v>0</v>
      </c>
      <c r="H237" s="25">
        <f t="shared" si="230"/>
        <v>0</v>
      </c>
      <c r="I237" s="25">
        <f t="shared" si="231"/>
        <v>0</v>
      </c>
      <c r="J237" s="25">
        <f t="shared" si="232"/>
        <v>0</v>
      </c>
      <c r="K237" s="26" t="s">
        <v>53</v>
      </c>
      <c r="Z237" s="25">
        <f t="shared" si="233"/>
        <v>0</v>
      </c>
      <c r="AB237" s="25">
        <f t="shared" si="234"/>
        <v>0</v>
      </c>
      <c r="AC237" s="25">
        <f t="shared" si="235"/>
        <v>0</v>
      </c>
      <c r="AD237" s="25">
        <f t="shared" si="236"/>
        <v>0</v>
      </c>
      <c r="AE237" s="25">
        <f t="shared" si="237"/>
        <v>0</v>
      </c>
      <c r="AF237" s="25">
        <f t="shared" si="238"/>
        <v>0</v>
      </c>
      <c r="AG237" s="25">
        <f t="shared" si="239"/>
        <v>0</v>
      </c>
      <c r="AH237" s="25">
        <f t="shared" si="240"/>
        <v>0</v>
      </c>
      <c r="AI237" s="11" t="s">
        <v>46</v>
      </c>
      <c r="AJ237" s="25">
        <f t="shared" si="241"/>
        <v>0</v>
      </c>
      <c r="AK237" s="25">
        <f t="shared" si="242"/>
        <v>0</v>
      </c>
      <c r="AL237" s="25">
        <f t="shared" si="243"/>
        <v>0</v>
      </c>
      <c r="AN237" s="25">
        <v>21</v>
      </c>
      <c r="AO237" s="25">
        <f t="shared" si="252"/>
        <v>0</v>
      </c>
      <c r="AP237" s="25">
        <f t="shared" si="253"/>
        <v>0</v>
      </c>
      <c r="AQ237" s="27" t="s">
        <v>76</v>
      </c>
      <c r="AV237" s="25">
        <f t="shared" si="244"/>
        <v>0</v>
      </c>
      <c r="AW237" s="25">
        <f t="shared" si="245"/>
        <v>0</v>
      </c>
      <c r="AX237" s="25">
        <f t="shared" si="246"/>
        <v>0</v>
      </c>
      <c r="AY237" s="27" t="s">
        <v>584</v>
      </c>
      <c r="AZ237" s="27" t="s">
        <v>585</v>
      </c>
      <c r="BA237" s="11" t="s">
        <v>56</v>
      </c>
      <c r="BC237" s="25">
        <f t="shared" si="247"/>
        <v>0</v>
      </c>
      <c r="BD237" s="25">
        <f t="shared" si="248"/>
        <v>0</v>
      </c>
      <c r="BE237" s="25">
        <v>0</v>
      </c>
      <c r="BF237" s="25">
        <f>237</f>
        <v>237</v>
      </c>
      <c r="BH237" s="25">
        <f t="shared" si="249"/>
        <v>0</v>
      </c>
      <c r="BI237" s="25">
        <f t="shared" si="250"/>
        <v>0</v>
      </c>
      <c r="BJ237" s="25">
        <f t="shared" si="251"/>
        <v>0</v>
      </c>
      <c r="BK237" s="27" t="s">
        <v>57</v>
      </c>
      <c r="BL237" s="25">
        <v>721</v>
      </c>
      <c r="BW237" s="25">
        <v>21</v>
      </c>
      <c r="BX237" s="5" t="s">
        <v>729</v>
      </c>
    </row>
    <row r="238" spans="1:76" x14ac:dyDescent="0.25">
      <c r="A238" s="2" t="s">
        <v>730</v>
      </c>
      <c r="B238" s="3" t="s">
        <v>731</v>
      </c>
      <c r="C238" s="93" t="s">
        <v>732</v>
      </c>
      <c r="D238" s="94"/>
      <c r="E238" s="3" t="s">
        <v>52</v>
      </c>
      <c r="F238" s="25">
        <v>5</v>
      </c>
      <c r="G238" s="25">
        <v>0</v>
      </c>
      <c r="H238" s="25">
        <f t="shared" si="230"/>
        <v>0</v>
      </c>
      <c r="I238" s="25">
        <f t="shared" si="231"/>
        <v>0</v>
      </c>
      <c r="J238" s="25">
        <f t="shared" si="232"/>
        <v>0</v>
      </c>
      <c r="K238" s="26" t="s">
        <v>53</v>
      </c>
      <c r="Z238" s="25">
        <f t="shared" si="233"/>
        <v>0</v>
      </c>
      <c r="AB238" s="25">
        <f t="shared" si="234"/>
        <v>0</v>
      </c>
      <c r="AC238" s="25">
        <f t="shared" si="235"/>
        <v>0</v>
      </c>
      <c r="AD238" s="25">
        <f t="shared" si="236"/>
        <v>0</v>
      </c>
      <c r="AE238" s="25">
        <f t="shared" si="237"/>
        <v>0</v>
      </c>
      <c r="AF238" s="25">
        <f t="shared" si="238"/>
        <v>0</v>
      </c>
      <c r="AG238" s="25">
        <f t="shared" si="239"/>
        <v>0</v>
      </c>
      <c r="AH238" s="25">
        <f t="shared" si="240"/>
        <v>0</v>
      </c>
      <c r="AI238" s="11" t="s">
        <v>46</v>
      </c>
      <c r="AJ238" s="25">
        <f t="shared" si="241"/>
        <v>0</v>
      </c>
      <c r="AK238" s="25">
        <f t="shared" si="242"/>
        <v>0</v>
      </c>
      <c r="AL238" s="25">
        <f t="shared" si="243"/>
        <v>0</v>
      </c>
      <c r="AN238" s="25">
        <v>21</v>
      </c>
      <c r="AO238" s="25">
        <f t="shared" si="252"/>
        <v>0</v>
      </c>
      <c r="AP238" s="25">
        <f t="shared" si="253"/>
        <v>0</v>
      </c>
      <c r="AQ238" s="27" t="s">
        <v>76</v>
      </c>
      <c r="AV238" s="25">
        <f t="shared" si="244"/>
        <v>0</v>
      </c>
      <c r="AW238" s="25">
        <f t="shared" si="245"/>
        <v>0</v>
      </c>
      <c r="AX238" s="25">
        <f t="shared" si="246"/>
        <v>0</v>
      </c>
      <c r="AY238" s="27" t="s">
        <v>584</v>
      </c>
      <c r="AZ238" s="27" t="s">
        <v>585</v>
      </c>
      <c r="BA238" s="11" t="s">
        <v>56</v>
      </c>
      <c r="BC238" s="25">
        <f t="shared" si="247"/>
        <v>0</v>
      </c>
      <c r="BD238" s="25">
        <f t="shared" si="248"/>
        <v>0</v>
      </c>
      <c r="BE238" s="25">
        <v>0</v>
      </c>
      <c r="BF238" s="25">
        <f>238</f>
        <v>238</v>
      </c>
      <c r="BH238" s="25">
        <f t="shared" si="249"/>
        <v>0</v>
      </c>
      <c r="BI238" s="25">
        <f t="shared" si="250"/>
        <v>0</v>
      </c>
      <c r="BJ238" s="25">
        <f t="shared" si="251"/>
        <v>0</v>
      </c>
      <c r="BK238" s="27" t="s">
        <v>57</v>
      </c>
      <c r="BL238" s="25">
        <v>721</v>
      </c>
      <c r="BW238" s="25">
        <v>21</v>
      </c>
      <c r="BX238" s="5" t="s">
        <v>732</v>
      </c>
    </row>
    <row r="239" spans="1:76" x14ac:dyDescent="0.25">
      <c r="A239" s="2" t="s">
        <v>733</v>
      </c>
      <c r="B239" s="3" t="s">
        <v>734</v>
      </c>
      <c r="C239" s="93" t="s">
        <v>735</v>
      </c>
      <c r="D239" s="94"/>
      <c r="E239" s="3" t="s">
        <v>52</v>
      </c>
      <c r="F239" s="25">
        <v>1</v>
      </c>
      <c r="G239" s="25">
        <v>0</v>
      </c>
      <c r="H239" s="25">
        <f t="shared" si="230"/>
        <v>0</v>
      </c>
      <c r="I239" s="25">
        <f t="shared" si="231"/>
        <v>0</v>
      </c>
      <c r="J239" s="25">
        <f t="shared" si="232"/>
        <v>0</v>
      </c>
      <c r="K239" s="26" t="s">
        <v>53</v>
      </c>
      <c r="Z239" s="25">
        <f t="shared" si="233"/>
        <v>0</v>
      </c>
      <c r="AB239" s="25">
        <f t="shared" si="234"/>
        <v>0</v>
      </c>
      <c r="AC239" s="25">
        <f t="shared" si="235"/>
        <v>0</v>
      </c>
      <c r="AD239" s="25">
        <f t="shared" si="236"/>
        <v>0</v>
      </c>
      <c r="AE239" s="25">
        <f t="shared" si="237"/>
        <v>0</v>
      </c>
      <c r="AF239" s="25">
        <f t="shared" si="238"/>
        <v>0</v>
      </c>
      <c r="AG239" s="25">
        <f t="shared" si="239"/>
        <v>0</v>
      </c>
      <c r="AH239" s="25">
        <f t="shared" si="240"/>
        <v>0</v>
      </c>
      <c r="AI239" s="11" t="s">
        <v>46</v>
      </c>
      <c r="AJ239" s="25">
        <f t="shared" si="241"/>
        <v>0</v>
      </c>
      <c r="AK239" s="25">
        <f t="shared" si="242"/>
        <v>0</v>
      </c>
      <c r="AL239" s="25">
        <f t="shared" si="243"/>
        <v>0</v>
      </c>
      <c r="AN239" s="25">
        <v>21</v>
      </c>
      <c r="AO239" s="25">
        <f t="shared" si="252"/>
        <v>0</v>
      </c>
      <c r="AP239" s="25">
        <f t="shared" si="253"/>
        <v>0</v>
      </c>
      <c r="AQ239" s="27" t="s">
        <v>76</v>
      </c>
      <c r="AV239" s="25">
        <f t="shared" si="244"/>
        <v>0</v>
      </c>
      <c r="AW239" s="25">
        <f t="shared" si="245"/>
        <v>0</v>
      </c>
      <c r="AX239" s="25">
        <f t="shared" si="246"/>
        <v>0</v>
      </c>
      <c r="AY239" s="27" t="s">
        <v>584</v>
      </c>
      <c r="AZ239" s="27" t="s">
        <v>585</v>
      </c>
      <c r="BA239" s="11" t="s">
        <v>56</v>
      </c>
      <c r="BC239" s="25">
        <f t="shared" si="247"/>
        <v>0</v>
      </c>
      <c r="BD239" s="25">
        <f t="shared" si="248"/>
        <v>0</v>
      </c>
      <c r="BE239" s="25">
        <v>0</v>
      </c>
      <c r="BF239" s="25">
        <f>239</f>
        <v>239</v>
      </c>
      <c r="BH239" s="25">
        <f t="shared" si="249"/>
        <v>0</v>
      </c>
      <c r="BI239" s="25">
        <f t="shared" si="250"/>
        <v>0</v>
      </c>
      <c r="BJ239" s="25">
        <f t="shared" si="251"/>
        <v>0</v>
      </c>
      <c r="BK239" s="27" t="s">
        <v>57</v>
      </c>
      <c r="BL239" s="25">
        <v>721</v>
      </c>
      <c r="BW239" s="25">
        <v>21</v>
      </c>
      <c r="BX239" s="5" t="s">
        <v>735</v>
      </c>
    </row>
    <row r="240" spans="1:76" x14ac:dyDescent="0.25">
      <c r="A240" s="2" t="s">
        <v>736</v>
      </c>
      <c r="B240" s="3" t="s">
        <v>737</v>
      </c>
      <c r="C240" s="93" t="s">
        <v>738</v>
      </c>
      <c r="D240" s="94"/>
      <c r="E240" s="3" t="s">
        <v>52</v>
      </c>
      <c r="F240" s="25">
        <v>20</v>
      </c>
      <c r="G240" s="25">
        <v>0</v>
      </c>
      <c r="H240" s="25">
        <f t="shared" si="230"/>
        <v>0</v>
      </c>
      <c r="I240" s="25">
        <f t="shared" si="231"/>
        <v>0</v>
      </c>
      <c r="J240" s="25">
        <f t="shared" si="232"/>
        <v>0</v>
      </c>
      <c r="K240" s="26" t="s">
        <v>53</v>
      </c>
      <c r="Z240" s="25">
        <f t="shared" si="233"/>
        <v>0</v>
      </c>
      <c r="AB240" s="25">
        <f t="shared" si="234"/>
        <v>0</v>
      </c>
      <c r="AC240" s="25">
        <f t="shared" si="235"/>
        <v>0</v>
      </c>
      <c r="AD240" s="25">
        <f t="shared" si="236"/>
        <v>0</v>
      </c>
      <c r="AE240" s="25">
        <f t="shared" si="237"/>
        <v>0</v>
      </c>
      <c r="AF240" s="25">
        <f t="shared" si="238"/>
        <v>0</v>
      </c>
      <c r="AG240" s="25">
        <f t="shared" si="239"/>
        <v>0</v>
      </c>
      <c r="AH240" s="25">
        <f t="shared" si="240"/>
        <v>0</v>
      </c>
      <c r="AI240" s="11" t="s">
        <v>46</v>
      </c>
      <c r="AJ240" s="25">
        <f t="shared" si="241"/>
        <v>0</v>
      </c>
      <c r="AK240" s="25">
        <f t="shared" si="242"/>
        <v>0</v>
      </c>
      <c r="AL240" s="25">
        <f t="shared" si="243"/>
        <v>0</v>
      </c>
      <c r="AN240" s="25">
        <v>21</v>
      </c>
      <c r="AO240" s="25">
        <f t="shared" si="252"/>
        <v>0</v>
      </c>
      <c r="AP240" s="25">
        <f t="shared" si="253"/>
        <v>0</v>
      </c>
      <c r="AQ240" s="27" t="s">
        <v>76</v>
      </c>
      <c r="AV240" s="25">
        <f t="shared" si="244"/>
        <v>0</v>
      </c>
      <c r="AW240" s="25">
        <f t="shared" si="245"/>
        <v>0</v>
      </c>
      <c r="AX240" s="25">
        <f t="shared" si="246"/>
        <v>0</v>
      </c>
      <c r="AY240" s="27" t="s">
        <v>584</v>
      </c>
      <c r="AZ240" s="27" t="s">
        <v>585</v>
      </c>
      <c r="BA240" s="11" t="s">
        <v>56</v>
      </c>
      <c r="BC240" s="25">
        <f t="shared" si="247"/>
        <v>0</v>
      </c>
      <c r="BD240" s="25">
        <f t="shared" si="248"/>
        <v>0</v>
      </c>
      <c r="BE240" s="25">
        <v>0</v>
      </c>
      <c r="BF240" s="25">
        <f>240</f>
        <v>240</v>
      </c>
      <c r="BH240" s="25">
        <f t="shared" si="249"/>
        <v>0</v>
      </c>
      <c r="BI240" s="25">
        <f t="shared" si="250"/>
        <v>0</v>
      </c>
      <c r="BJ240" s="25">
        <f t="shared" si="251"/>
        <v>0</v>
      </c>
      <c r="BK240" s="27" t="s">
        <v>57</v>
      </c>
      <c r="BL240" s="25">
        <v>721</v>
      </c>
      <c r="BW240" s="25">
        <v>21</v>
      </c>
      <c r="BX240" s="5" t="s">
        <v>738</v>
      </c>
    </row>
    <row r="241" spans="1:76" ht="25.5" x14ac:dyDescent="0.25">
      <c r="A241" s="2" t="s">
        <v>739</v>
      </c>
      <c r="B241" s="3" t="s">
        <v>740</v>
      </c>
      <c r="C241" s="93" t="s">
        <v>741</v>
      </c>
      <c r="D241" s="94"/>
      <c r="E241" s="3" t="s">
        <v>52</v>
      </c>
      <c r="F241" s="25">
        <v>3</v>
      </c>
      <c r="G241" s="25">
        <v>0</v>
      </c>
      <c r="H241" s="25">
        <f t="shared" si="230"/>
        <v>0</v>
      </c>
      <c r="I241" s="25">
        <f t="shared" si="231"/>
        <v>0</v>
      </c>
      <c r="J241" s="25">
        <f t="shared" si="232"/>
        <v>0</v>
      </c>
      <c r="K241" s="26" t="s">
        <v>53</v>
      </c>
      <c r="Z241" s="25">
        <f t="shared" si="233"/>
        <v>0</v>
      </c>
      <c r="AB241" s="25">
        <f t="shared" si="234"/>
        <v>0</v>
      </c>
      <c r="AC241" s="25">
        <f t="shared" si="235"/>
        <v>0</v>
      </c>
      <c r="AD241" s="25">
        <f t="shared" si="236"/>
        <v>0</v>
      </c>
      <c r="AE241" s="25">
        <f t="shared" si="237"/>
        <v>0</v>
      </c>
      <c r="AF241" s="25">
        <f t="shared" si="238"/>
        <v>0</v>
      </c>
      <c r="AG241" s="25">
        <f t="shared" si="239"/>
        <v>0</v>
      </c>
      <c r="AH241" s="25">
        <f t="shared" si="240"/>
        <v>0</v>
      </c>
      <c r="AI241" s="11" t="s">
        <v>46</v>
      </c>
      <c r="AJ241" s="25">
        <f t="shared" si="241"/>
        <v>0</v>
      </c>
      <c r="AK241" s="25">
        <f t="shared" si="242"/>
        <v>0</v>
      </c>
      <c r="AL241" s="25">
        <f t="shared" si="243"/>
        <v>0</v>
      </c>
      <c r="AN241" s="25">
        <v>21</v>
      </c>
      <c r="AO241" s="25">
        <f t="shared" si="252"/>
        <v>0</v>
      </c>
      <c r="AP241" s="25">
        <f t="shared" si="253"/>
        <v>0</v>
      </c>
      <c r="AQ241" s="27" t="s">
        <v>76</v>
      </c>
      <c r="AV241" s="25">
        <f t="shared" si="244"/>
        <v>0</v>
      </c>
      <c r="AW241" s="25">
        <f t="shared" si="245"/>
        <v>0</v>
      </c>
      <c r="AX241" s="25">
        <f t="shared" si="246"/>
        <v>0</v>
      </c>
      <c r="AY241" s="27" t="s">
        <v>584</v>
      </c>
      <c r="AZ241" s="27" t="s">
        <v>585</v>
      </c>
      <c r="BA241" s="11" t="s">
        <v>56</v>
      </c>
      <c r="BC241" s="25">
        <f t="shared" si="247"/>
        <v>0</v>
      </c>
      <c r="BD241" s="25">
        <f t="shared" si="248"/>
        <v>0</v>
      </c>
      <c r="BE241" s="25">
        <v>0</v>
      </c>
      <c r="BF241" s="25">
        <f>241</f>
        <v>241</v>
      </c>
      <c r="BH241" s="25">
        <f t="shared" si="249"/>
        <v>0</v>
      </c>
      <c r="BI241" s="25">
        <f t="shared" si="250"/>
        <v>0</v>
      </c>
      <c r="BJ241" s="25">
        <f t="shared" si="251"/>
        <v>0</v>
      </c>
      <c r="BK241" s="27" t="s">
        <v>57</v>
      </c>
      <c r="BL241" s="25">
        <v>721</v>
      </c>
      <c r="BW241" s="25">
        <v>21</v>
      </c>
      <c r="BX241" s="5" t="s">
        <v>741</v>
      </c>
    </row>
    <row r="242" spans="1:76" ht="25.5" x14ac:dyDescent="0.25">
      <c r="A242" s="2" t="s">
        <v>742</v>
      </c>
      <c r="B242" s="3" t="s">
        <v>743</v>
      </c>
      <c r="C242" s="93" t="s">
        <v>744</v>
      </c>
      <c r="D242" s="94"/>
      <c r="E242" s="3" t="s">
        <v>52</v>
      </c>
      <c r="F242" s="25">
        <v>3</v>
      </c>
      <c r="G242" s="25">
        <v>0</v>
      </c>
      <c r="H242" s="25">
        <f t="shared" si="230"/>
        <v>0</v>
      </c>
      <c r="I242" s="25">
        <f t="shared" si="231"/>
        <v>0</v>
      </c>
      <c r="J242" s="25">
        <f t="shared" si="232"/>
        <v>0</v>
      </c>
      <c r="K242" s="26" t="s">
        <v>53</v>
      </c>
      <c r="Z242" s="25">
        <f t="shared" si="233"/>
        <v>0</v>
      </c>
      <c r="AB242" s="25">
        <f t="shared" si="234"/>
        <v>0</v>
      </c>
      <c r="AC242" s="25">
        <f t="shared" si="235"/>
        <v>0</v>
      </c>
      <c r="AD242" s="25">
        <f t="shared" si="236"/>
        <v>0</v>
      </c>
      <c r="AE242" s="25">
        <f t="shared" si="237"/>
        <v>0</v>
      </c>
      <c r="AF242" s="25">
        <f t="shared" si="238"/>
        <v>0</v>
      </c>
      <c r="AG242" s="25">
        <f t="shared" si="239"/>
        <v>0</v>
      </c>
      <c r="AH242" s="25">
        <f t="shared" si="240"/>
        <v>0</v>
      </c>
      <c r="AI242" s="11" t="s">
        <v>46</v>
      </c>
      <c r="AJ242" s="25">
        <f t="shared" si="241"/>
        <v>0</v>
      </c>
      <c r="AK242" s="25">
        <f t="shared" si="242"/>
        <v>0</v>
      </c>
      <c r="AL242" s="25">
        <f t="shared" si="243"/>
        <v>0</v>
      </c>
      <c r="AN242" s="25">
        <v>21</v>
      </c>
      <c r="AO242" s="25">
        <f t="shared" si="252"/>
        <v>0</v>
      </c>
      <c r="AP242" s="25">
        <f t="shared" si="253"/>
        <v>0</v>
      </c>
      <c r="AQ242" s="27" t="s">
        <v>76</v>
      </c>
      <c r="AV242" s="25">
        <f t="shared" si="244"/>
        <v>0</v>
      </c>
      <c r="AW242" s="25">
        <f t="shared" si="245"/>
        <v>0</v>
      </c>
      <c r="AX242" s="25">
        <f t="shared" si="246"/>
        <v>0</v>
      </c>
      <c r="AY242" s="27" t="s">
        <v>584</v>
      </c>
      <c r="AZ242" s="27" t="s">
        <v>585</v>
      </c>
      <c r="BA242" s="11" t="s">
        <v>56</v>
      </c>
      <c r="BC242" s="25">
        <f t="shared" si="247"/>
        <v>0</v>
      </c>
      <c r="BD242" s="25">
        <f t="shared" si="248"/>
        <v>0</v>
      </c>
      <c r="BE242" s="25">
        <v>0</v>
      </c>
      <c r="BF242" s="25">
        <f>242</f>
        <v>242</v>
      </c>
      <c r="BH242" s="25">
        <f t="shared" si="249"/>
        <v>0</v>
      </c>
      <c r="BI242" s="25">
        <f t="shared" si="250"/>
        <v>0</v>
      </c>
      <c r="BJ242" s="25">
        <f t="shared" si="251"/>
        <v>0</v>
      </c>
      <c r="BK242" s="27" t="s">
        <v>57</v>
      </c>
      <c r="BL242" s="25">
        <v>721</v>
      </c>
      <c r="BW242" s="25">
        <v>21</v>
      </c>
      <c r="BX242" s="5" t="s">
        <v>744</v>
      </c>
    </row>
    <row r="243" spans="1:76" ht="25.5" x14ac:dyDescent="0.25">
      <c r="A243" s="2" t="s">
        <v>745</v>
      </c>
      <c r="B243" s="3" t="s">
        <v>746</v>
      </c>
      <c r="C243" s="93" t="s">
        <v>747</v>
      </c>
      <c r="D243" s="94"/>
      <c r="E243" s="3" t="s">
        <v>52</v>
      </c>
      <c r="F243" s="25">
        <v>1</v>
      </c>
      <c r="G243" s="25">
        <v>0</v>
      </c>
      <c r="H243" s="25">
        <f t="shared" si="230"/>
        <v>0</v>
      </c>
      <c r="I243" s="25">
        <f t="shared" si="231"/>
        <v>0</v>
      </c>
      <c r="J243" s="25">
        <f t="shared" si="232"/>
        <v>0</v>
      </c>
      <c r="K243" s="26" t="s">
        <v>53</v>
      </c>
      <c r="Z243" s="25">
        <f t="shared" si="233"/>
        <v>0</v>
      </c>
      <c r="AB243" s="25">
        <f t="shared" si="234"/>
        <v>0</v>
      </c>
      <c r="AC243" s="25">
        <f t="shared" si="235"/>
        <v>0</v>
      </c>
      <c r="AD243" s="25">
        <f t="shared" si="236"/>
        <v>0</v>
      </c>
      <c r="AE243" s="25">
        <f t="shared" si="237"/>
        <v>0</v>
      </c>
      <c r="AF243" s="25">
        <f t="shared" si="238"/>
        <v>0</v>
      </c>
      <c r="AG243" s="25">
        <f t="shared" si="239"/>
        <v>0</v>
      </c>
      <c r="AH243" s="25">
        <f t="shared" si="240"/>
        <v>0</v>
      </c>
      <c r="AI243" s="11" t="s">
        <v>46</v>
      </c>
      <c r="AJ243" s="25">
        <f t="shared" si="241"/>
        <v>0</v>
      </c>
      <c r="AK243" s="25">
        <f t="shared" si="242"/>
        <v>0</v>
      </c>
      <c r="AL243" s="25">
        <f t="shared" si="243"/>
        <v>0</v>
      </c>
      <c r="AN243" s="25">
        <v>21</v>
      </c>
      <c r="AO243" s="25">
        <f t="shared" si="252"/>
        <v>0</v>
      </c>
      <c r="AP243" s="25">
        <f t="shared" si="253"/>
        <v>0</v>
      </c>
      <c r="AQ243" s="27" t="s">
        <v>76</v>
      </c>
      <c r="AV243" s="25">
        <f t="shared" si="244"/>
        <v>0</v>
      </c>
      <c r="AW243" s="25">
        <f t="shared" si="245"/>
        <v>0</v>
      </c>
      <c r="AX243" s="25">
        <f t="shared" si="246"/>
        <v>0</v>
      </c>
      <c r="AY243" s="27" t="s">
        <v>584</v>
      </c>
      <c r="AZ243" s="27" t="s">
        <v>585</v>
      </c>
      <c r="BA243" s="11" t="s">
        <v>56</v>
      </c>
      <c r="BC243" s="25">
        <f t="shared" si="247"/>
        <v>0</v>
      </c>
      <c r="BD243" s="25">
        <f t="shared" si="248"/>
        <v>0</v>
      </c>
      <c r="BE243" s="25">
        <v>0</v>
      </c>
      <c r="BF243" s="25">
        <f>243</f>
        <v>243</v>
      </c>
      <c r="BH243" s="25">
        <f t="shared" si="249"/>
        <v>0</v>
      </c>
      <c r="BI243" s="25">
        <f t="shared" si="250"/>
        <v>0</v>
      </c>
      <c r="BJ243" s="25">
        <f t="shared" si="251"/>
        <v>0</v>
      </c>
      <c r="BK243" s="27" t="s">
        <v>57</v>
      </c>
      <c r="BL243" s="25">
        <v>721</v>
      </c>
      <c r="BW243" s="25">
        <v>21</v>
      </c>
      <c r="BX243" s="5" t="s">
        <v>747</v>
      </c>
    </row>
    <row r="244" spans="1:76" x14ac:dyDescent="0.25">
      <c r="A244" s="2" t="s">
        <v>748</v>
      </c>
      <c r="B244" s="3" t="s">
        <v>749</v>
      </c>
      <c r="C244" s="93" t="s">
        <v>750</v>
      </c>
      <c r="D244" s="94"/>
      <c r="E244" s="3" t="s">
        <v>52</v>
      </c>
      <c r="F244" s="25">
        <v>17</v>
      </c>
      <c r="G244" s="25">
        <v>0</v>
      </c>
      <c r="H244" s="25">
        <f t="shared" si="230"/>
        <v>0</v>
      </c>
      <c r="I244" s="25">
        <f t="shared" si="231"/>
        <v>0</v>
      </c>
      <c r="J244" s="25">
        <f t="shared" si="232"/>
        <v>0</v>
      </c>
      <c r="K244" s="26" t="s">
        <v>53</v>
      </c>
      <c r="Z244" s="25">
        <f t="shared" si="233"/>
        <v>0</v>
      </c>
      <c r="AB244" s="25">
        <f t="shared" si="234"/>
        <v>0</v>
      </c>
      <c r="AC244" s="25">
        <f t="shared" si="235"/>
        <v>0</v>
      </c>
      <c r="AD244" s="25">
        <f t="shared" si="236"/>
        <v>0</v>
      </c>
      <c r="AE244" s="25">
        <f t="shared" si="237"/>
        <v>0</v>
      </c>
      <c r="AF244" s="25">
        <f t="shared" si="238"/>
        <v>0</v>
      </c>
      <c r="AG244" s="25">
        <f t="shared" si="239"/>
        <v>0</v>
      </c>
      <c r="AH244" s="25">
        <f t="shared" si="240"/>
        <v>0</v>
      </c>
      <c r="AI244" s="11" t="s">
        <v>46</v>
      </c>
      <c r="AJ244" s="25">
        <f t="shared" si="241"/>
        <v>0</v>
      </c>
      <c r="AK244" s="25">
        <f t="shared" si="242"/>
        <v>0</v>
      </c>
      <c r="AL244" s="25">
        <f t="shared" si="243"/>
        <v>0</v>
      </c>
      <c r="AN244" s="25">
        <v>21</v>
      </c>
      <c r="AO244" s="25">
        <f t="shared" si="252"/>
        <v>0</v>
      </c>
      <c r="AP244" s="25">
        <f t="shared" si="253"/>
        <v>0</v>
      </c>
      <c r="AQ244" s="27" t="s">
        <v>76</v>
      </c>
      <c r="AV244" s="25">
        <f t="shared" si="244"/>
        <v>0</v>
      </c>
      <c r="AW244" s="25">
        <f t="shared" si="245"/>
        <v>0</v>
      </c>
      <c r="AX244" s="25">
        <f t="shared" si="246"/>
        <v>0</v>
      </c>
      <c r="AY244" s="27" t="s">
        <v>584</v>
      </c>
      <c r="AZ244" s="27" t="s">
        <v>585</v>
      </c>
      <c r="BA244" s="11" t="s">
        <v>56</v>
      </c>
      <c r="BC244" s="25">
        <f t="shared" si="247"/>
        <v>0</v>
      </c>
      <c r="BD244" s="25">
        <f t="shared" si="248"/>
        <v>0</v>
      </c>
      <c r="BE244" s="25">
        <v>0</v>
      </c>
      <c r="BF244" s="25">
        <f>244</f>
        <v>244</v>
      </c>
      <c r="BH244" s="25">
        <f t="shared" si="249"/>
        <v>0</v>
      </c>
      <c r="BI244" s="25">
        <f t="shared" si="250"/>
        <v>0</v>
      </c>
      <c r="BJ244" s="25">
        <f t="shared" si="251"/>
        <v>0</v>
      </c>
      <c r="BK244" s="27" t="s">
        <v>57</v>
      </c>
      <c r="BL244" s="25">
        <v>721</v>
      </c>
      <c r="BW244" s="25">
        <v>21</v>
      </c>
      <c r="BX244" s="5" t="s">
        <v>750</v>
      </c>
    </row>
    <row r="245" spans="1:76" x14ac:dyDescent="0.25">
      <c r="A245" s="2" t="s">
        <v>751</v>
      </c>
      <c r="B245" s="3" t="s">
        <v>752</v>
      </c>
      <c r="C245" s="93" t="s">
        <v>753</v>
      </c>
      <c r="D245" s="94"/>
      <c r="E245" s="3" t="s">
        <v>52</v>
      </c>
      <c r="F245" s="25">
        <v>12</v>
      </c>
      <c r="G245" s="25">
        <v>0</v>
      </c>
      <c r="H245" s="25">
        <f t="shared" si="230"/>
        <v>0</v>
      </c>
      <c r="I245" s="25">
        <f t="shared" si="231"/>
        <v>0</v>
      </c>
      <c r="J245" s="25">
        <f t="shared" si="232"/>
        <v>0</v>
      </c>
      <c r="K245" s="26" t="s">
        <v>53</v>
      </c>
      <c r="Z245" s="25">
        <f t="shared" si="233"/>
        <v>0</v>
      </c>
      <c r="AB245" s="25">
        <f t="shared" si="234"/>
        <v>0</v>
      </c>
      <c r="AC245" s="25">
        <f t="shared" si="235"/>
        <v>0</v>
      </c>
      <c r="AD245" s="25">
        <f t="shared" si="236"/>
        <v>0</v>
      </c>
      <c r="AE245" s="25">
        <f t="shared" si="237"/>
        <v>0</v>
      </c>
      <c r="AF245" s="25">
        <f t="shared" si="238"/>
        <v>0</v>
      </c>
      <c r="AG245" s="25">
        <f t="shared" si="239"/>
        <v>0</v>
      </c>
      <c r="AH245" s="25">
        <f t="shared" si="240"/>
        <v>0</v>
      </c>
      <c r="AI245" s="11" t="s">
        <v>46</v>
      </c>
      <c r="AJ245" s="25">
        <f t="shared" si="241"/>
        <v>0</v>
      </c>
      <c r="AK245" s="25">
        <f t="shared" si="242"/>
        <v>0</v>
      </c>
      <c r="AL245" s="25">
        <f t="shared" si="243"/>
        <v>0</v>
      </c>
      <c r="AN245" s="25">
        <v>21</v>
      </c>
      <c r="AO245" s="25">
        <f t="shared" si="252"/>
        <v>0</v>
      </c>
      <c r="AP245" s="25">
        <f t="shared" si="253"/>
        <v>0</v>
      </c>
      <c r="AQ245" s="27" t="s">
        <v>76</v>
      </c>
      <c r="AV245" s="25">
        <f t="shared" si="244"/>
        <v>0</v>
      </c>
      <c r="AW245" s="25">
        <f t="shared" si="245"/>
        <v>0</v>
      </c>
      <c r="AX245" s="25">
        <f t="shared" si="246"/>
        <v>0</v>
      </c>
      <c r="AY245" s="27" t="s">
        <v>584</v>
      </c>
      <c r="AZ245" s="27" t="s">
        <v>585</v>
      </c>
      <c r="BA245" s="11" t="s">
        <v>56</v>
      </c>
      <c r="BC245" s="25">
        <f t="shared" si="247"/>
        <v>0</v>
      </c>
      <c r="BD245" s="25">
        <f t="shared" si="248"/>
        <v>0</v>
      </c>
      <c r="BE245" s="25">
        <v>0</v>
      </c>
      <c r="BF245" s="25">
        <f>245</f>
        <v>245</v>
      </c>
      <c r="BH245" s="25">
        <f t="shared" si="249"/>
        <v>0</v>
      </c>
      <c r="BI245" s="25">
        <f t="shared" si="250"/>
        <v>0</v>
      </c>
      <c r="BJ245" s="25">
        <f t="shared" si="251"/>
        <v>0</v>
      </c>
      <c r="BK245" s="27" t="s">
        <v>57</v>
      </c>
      <c r="BL245" s="25">
        <v>721</v>
      </c>
      <c r="BW245" s="25">
        <v>21</v>
      </c>
      <c r="BX245" s="5" t="s">
        <v>753</v>
      </c>
    </row>
    <row r="246" spans="1:76" x14ac:dyDescent="0.25">
      <c r="A246" s="2" t="s">
        <v>754</v>
      </c>
      <c r="B246" s="3" t="s">
        <v>755</v>
      </c>
      <c r="C246" s="93" t="s">
        <v>756</v>
      </c>
      <c r="D246" s="94"/>
      <c r="E246" s="3" t="s">
        <v>52</v>
      </c>
      <c r="F246" s="25">
        <v>1</v>
      </c>
      <c r="G246" s="25">
        <v>0</v>
      </c>
      <c r="H246" s="25">
        <f t="shared" si="230"/>
        <v>0</v>
      </c>
      <c r="I246" s="25">
        <f t="shared" si="231"/>
        <v>0</v>
      </c>
      <c r="J246" s="25">
        <f t="shared" si="232"/>
        <v>0</v>
      </c>
      <c r="K246" s="26" t="s">
        <v>53</v>
      </c>
      <c r="Z246" s="25">
        <f t="shared" si="233"/>
        <v>0</v>
      </c>
      <c r="AB246" s="25">
        <f t="shared" si="234"/>
        <v>0</v>
      </c>
      <c r="AC246" s="25">
        <f t="shared" si="235"/>
        <v>0</v>
      </c>
      <c r="AD246" s="25">
        <f t="shared" si="236"/>
        <v>0</v>
      </c>
      <c r="AE246" s="25">
        <f t="shared" si="237"/>
        <v>0</v>
      </c>
      <c r="AF246" s="25">
        <f t="shared" si="238"/>
        <v>0</v>
      </c>
      <c r="AG246" s="25">
        <f t="shared" si="239"/>
        <v>0</v>
      </c>
      <c r="AH246" s="25">
        <f t="shared" si="240"/>
        <v>0</v>
      </c>
      <c r="AI246" s="11" t="s">
        <v>46</v>
      </c>
      <c r="AJ246" s="25">
        <f t="shared" si="241"/>
        <v>0</v>
      </c>
      <c r="AK246" s="25">
        <f t="shared" si="242"/>
        <v>0</v>
      </c>
      <c r="AL246" s="25">
        <f t="shared" si="243"/>
        <v>0</v>
      </c>
      <c r="AN246" s="25">
        <v>21</v>
      </c>
      <c r="AO246" s="25">
        <f t="shared" si="252"/>
        <v>0</v>
      </c>
      <c r="AP246" s="25">
        <f t="shared" si="253"/>
        <v>0</v>
      </c>
      <c r="AQ246" s="27" t="s">
        <v>76</v>
      </c>
      <c r="AV246" s="25">
        <f t="shared" si="244"/>
        <v>0</v>
      </c>
      <c r="AW246" s="25">
        <f t="shared" si="245"/>
        <v>0</v>
      </c>
      <c r="AX246" s="25">
        <f t="shared" si="246"/>
        <v>0</v>
      </c>
      <c r="AY246" s="27" t="s">
        <v>584</v>
      </c>
      <c r="AZ246" s="27" t="s">
        <v>585</v>
      </c>
      <c r="BA246" s="11" t="s">
        <v>56</v>
      </c>
      <c r="BC246" s="25">
        <f t="shared" si="247"/>
        <v>0</v>
      </c>
      <c r="BD246" s="25">
        <f t="shared" si="248"/>
        <v>0</v>
      </c>
      <c r="BE246" s="25">
        <v>0</v>
      </c>
      <c r="BF246" s="25">
        <f>246</f>
        <v>246</v>
      </c>
      <c r="BH246" s="25">
        <f t="shared" si="249"/>
        <v>0</v>
      </c>
      <c r="BI246" s="25">
        <f t="shared" si="250"/>
        <v>0</v>
      </c>
      <c r="BJ246" s="25">
        <f t="shared" si="251"/>
        <v>0</v>
      </c>
      <c r="BK246" s="27" t="s">
        <v>57</v>
      </c>
      <c r="BL246" s="25">
        <v>721</v>
      </c>
      <c r="BW246" s="25">
        <v>21</v>
      </c>
      <c r="BX246" s="5" t="s">
        <v>756</v>
      </c>
    </row>
    <row r="247" spans="1:76" x14ac:dyDescent="0.25">
      <c r="A247" s="2" t="s">
        <v>757</v>
      </c>
      <c r="B247" s="3" t="s">
        <v>758</v>
      </c>
      <c r="C247" s="93" t="s">
        <v>759</v>
      </c>
      <c r="D247" s="94"/>
      <c r="E247" s="3" t="s">
        <v>52</v>
      </c>
      <c r="F247" s="25">
        <v>1</v>
      </c>
      <c r="G247" s="25">
        <v>0</v>
      </c>
      <c r="H247" s="25">
        <f t="shared" si="230"/>
        <v>0</v>
      </c>
      <c r="I247" s="25">
        <f t="shared" si="231"/>
        <v>0</v>
      </c>
      <c r="J247" s="25">
        <f t="shared" si="232"/>
        <v>0</v>
      </c>
      <c r="K247" s="26" t="s">
        <v>53</v>
      </c>
      <c r="Z247" s="25">
        <f t="shared" si="233"/>
        <v>0</v>
      </c>
      <c r="AB247" s="25">
        <f t="shared" si="234"/>
        <v>0</v>
      </c>
      <c r="AC247" s="25">
        <f t="shared" si="235"/>
        <v>0</v>
      </c>
      <c r="AD247" s="25">
        <f t="shared" si="236"/>
        <v>0</v>
      </c>
      <c r="AE247" s="25">
        <f t="shared" si="237"/>
        <v>0</v>
      </c>
      <c r="AF247" s="25">
        <f t="shared" si="238"/>
        <v>0</v>
      </c>
      <c r="AG247" s="25">
        <f t="shared" si="239"/>
        <v>0</v>
      </c>
      <c r="AH247" s="25">
        <f t="shared" si="240"/>
        <v>0</v>
      </c>
      <c r="AI247" s="11" t="s">
        <v>46</v>
      </c>
      <c r="AJ247" s="25">
        <f t="shared" si="241"/>
        <v>0</v>
      </c>
      <c r="AK247" s="25">
        <f t="shared" si="242"/>
        <v>0</v>
      </c>
      <c r="AL247" s="25">
        <f t="shared" si="243"/>
        <v>0</v>
      </c>
      <c r="AN247" s="25">
        <v>21</v>
      </c>
      <c r="AO247" s="25">
        <f t="shared" si="252"/>
        <v>0</v>
      </c>
      <c r="AP247" s="25">
        <f t="shared" si="253"/>
        <v>0</v>
      </c>
      <c r="AQ247" s="27" t="s">
        <v>76</v>
      </c>
      <c r="AV247" s="25">
        <f t="shared" si="244"/>
        <v>0</v>
      </c>
      <c r="AW247" s="25">
        <f t="shared" si="245"/>
        <v>0</v>
      </c>
      <c r="AX247" s="25">
        <f t="shared" si="246"/>
        <v>0</v>
      </c>
      <c r="AY247" s="27" t="s">
        <v>584</v>
      </c>
      <c r="AZ247" s="27" t="s">
        <v>585</v>
      </c>
      <c r="BA247" s="11" t="s">
        <v>56</v>
      </c>
      <c r="BC247" s="25">
        <f t="shared" si="247"/>
        <v>0</v>
      </c>
      <c r="BD247" s="25">
        <f t="shared" si="248"/>
        <v>0</v>
      </c>
      <c r="BE247" s="25">
        <v>0</v>
      </c>
      <c r="BF247" s="25">
        <f>247</f>
        <v>247</v>
      </c>
      <c r="BH247" s="25">
        <f t="shared" si="249"/>
        <v>0</v>
      </c>
      <c r="BI247" s="25">
        <f t="shared" si="250"/>
        <v>0</v>
      </c>
      <c r="BJ247" s="25">
        <f t="shared" si="251"/>
        <v>0</v>
      </c>
      <c r="BK247" s="27" t="s">
        <v>57</v>
      </c>
      <c r="BL247" s="25">
        <v>721</v>
      </c>
      <c r="BW247" s="25">
        <v>21</v>
      </c>
      <c r="BX247" s="5" t="s">
        <v>759</v>
      </c>
    </row>
    <row r="248" spans="1:76" x14ac:dyDescent="0.25">
      <c r="A248" s="2" t="s">
        <v>760</v>
      </c>
      <c r="B248" s="3" t="s">
        <v>761</v>
      </c>
      <c r="C248" s="93" t="s">
        <v>762</v>
      </c>
      <c r="D248" s="94"/>
      <c r="E248" s="3" t="s">
        <v>52</v>
      </c>
      <c r="F248" s="25">
        <v>1</v>
      </c>
      <c r="G248" s="25">
        <v>0</v>
      </c>
      <c r="H248" s="25">
        <f t="shared" si="230"/>
        <v>0</v>
      </c>
      <c r="I248" s="25">
        <f t="shared" si="231"/>
        <v>0</v>
      </c>
      <c r="J248" s="25">
        <f t="shared" si="232"/>
        <v>0</v>
      </c>
      <c r="K248" s="26" t="s">
        <v>53</v>
      </c>
      <c r="Z248" s="25">
        <f t="shared" si="233"/>
        <v>0</v>
      </c>
      <c r="AB248" s="25">
        <f t="shared" si="234"/>
        <v>0</v>
      </c>
      <c r="AC248" s="25">
        <f t="shared" si="235"/>
        <v>0</v>
      </c>
      <c r="AD248" s="25">
        <f t="shared" si="236"/>
        <v>0</v>
      </c>
      <c r="AE248" s="25">
        <f t="shared" si="237"/>
        <v>0</v>
      </c>
      <c r="AF248" s="25">
        <f t="shared" si="238"/>
        <v>0</v>
      </c>
      <c r="AG248" s="25">
        <f t="shared" si="239"/>
        <v>0</v>
      </c>
      <c r="AH248" s="25">
        <f t="shared" si="240"/>
        <v>0</v>
      </c>
      <c r="AI248" s="11" t="s">
        <v>46</v>
      </c>
      <c r="AJ248" s="25">
        <f t="shared" si="241"/>
        <v>0</v>
      </c>
      <c r="AK248" s="25">
        <f t="shared" si="242"/>
        <v>0</v>
      </c>
      <c r="AL248" s="25">
        <f t="shared" si="243"/>
        <v>0</v>
      </c>
      <c r="AN248" s="25">
        <v>21</v>
      </c>
      <c r="AO248" s="25">
        <f t="shared" si="252"/>
        <v>0</v>
      </c>
      <c r="AP248" s="25">
        <f t="shared" si="253"/>
        <v>0</v>
      </c>
      <c r="AQ248" s="27" t="s">
        <v>76</v>
      </c>
      <c r="AV248" s="25">
        <f t="shared" si="244"/>
        <v>0</v>
      </c>
      <c r="AW248" s="25">
        <f t="shared" si="245"/>
        <v>0</v>
      </c>
      <c r="AX248" s="25">
        <f t="shared" si="246"/>
        <v>0</v>
      </c>
      <c r="AY248" s="27" t="s">
        <v>584</v>
      </c>
      <c r="AZ248" s="27" t="s">
        <v>585</v>
      </c>
      <c r="BA248" s="11" t="s">
        <v>56</v>
      </c>
      <c r="BC248" s="25">
        <f t="shared" si="247"/>
        <v>0</v>
      </c>
      <c r="BD248" s="25">
        <f t="shared" si="248"/>
        <v>0</v>
      </c>
      <c r="BE248" s="25">
        <v>0</v>
      </c>
      <c r="BF248" s="25">
        <f>248</f>
        <v>248</v>
      </c>
      <c r="BH248" s="25">
        <f t="shared" si="249"/>
        <v>0</v>
      </c>
      <c r="BI248" s="25">
        <f t="shared" si="250"/>
        <v>0</v>
      </c>
      <c r="BJ248" s="25">
        <f t="shared" si="251"/>
        <v>0</v>
      </c>
      <c r="BK248" s="27" t="s">
        <v>57</v>
      </c>
      <c r="BL248" s="25">
        <v>721</v>
      </c>
      <c r="BW248" s="25">
        <v>21</v>
      </c>
      <c r="BX248" s="5" t="s">
        <v>762</v>
      </c>
    </row>
    <row r="249" spans="1:76" x14ac:dyDescent="0.25">
      <c r="A249" s="2" t="s">
        <v>763</v>
      </c>
      <c r="B249" s="3" t="s">
        <v>764</v>
      </c>
      <c r="C249" s="93" t="s">
        <v>765</v>
      </c>
      <c r="D249" s="94"/>
      <c r="E249" s="3" t="s">
        <v>52</v>
      </c>
      <c r="F249" s="25">
        <v>2</v>
      </c>
      <c r="G249" s="25">
        <v>0</v>
      </c>
      <c r="H249" s="25">
        <f t="shared" si="230"/>
        <v>0</v>
      </c>
      <c r="I249" s="25">
        <f t="shared" si="231"/>
        <v>0</v>
      </c>
      <c r="J249" s="25">
        <f t="shared" si="232"/>
        <v>0</v>
      </c>
      <c r="K249" s="26" t="s">
        <v>53</v>
      </c>
      <c r="Z249" s="25">
        <f t="shared" si="233"/>
        <v>0</v>
      </c>
      <c r="AB249" s="25">
        <f t="shared" si="234"/>
        <v>0</v>
      </c>
      <c r="AC249" s="25">
        <f t="shared" si="235"/>
        <v>0</v>
      </c>
      <c r="AD249" s="25">
        <f t="shared" si="236"/>
        <v>0</v>
      </c>
      <c r="AE249" s="25">
        <f t="shared" si="237"/>
        <v>0</v>
      </c>
      <c r="AF249" s="25">
        <f t="shared" si="238"/>
        <v>0</v>
      </c>
      <c r="AG249" s="25">
        <f t="shared" si="239"/>
        <v>0</v>
      </c>
      <c r="AH249" s="25">
        <f t="shared" si="240"/>
        <v>0</v>
      </c>
      <c r="AI249" s="11" t="s">
        <v>46</v>
      </c>
      <c r="AJ249" s="25">
        <f t="shared" si="241"/>
        <v>0</v>
      </c>
      <c r="AK249" s="25">
        <f t="shared" si="242"/>
        <v>0</v>
      </c>
      <c r="AL249" s="25">
        <f t="shared" si="243"/>
        <v>0</v>
      </c>
      <c r="AN249" s="25">
        <v>21</v>
      </c>
      <c r="AO249" s="25">
        <f t="shared" si="252"/>
        <v>0</v>
      </c>
      <c r="AP249" s="25">
        <f t="shared" si="253"/>
        <v>0</v>
      </c>
      <c r="AQ249" s="27" t="s">
        <v>76</v>
      </c>
      <c r="AV249" s="25">
        <f t="shared" si="244"/>
        <v>0</v>
      </c>
      <c r="AW249" s="25">
        <f t="shared" si="245"/>
        <v>0</v>
      </c>
      <c r="AX249" s="25">
        <f t="shared" si="246"/>
        <v>0</v>
      </c>
      <c r="AY249" s="27" t="s">
        <v>584</v>
      </c>
      <c r="AZ249" s="27" t="s">
        <v>585</v>
      </c>
      <c r="BA249" s="11" t="s">
        <v>56</v>
      </c>
      <c r="BC249" s="25">
        <f t="shared" si="247"/>
        <v>0</v>
      </c>
      <c r="BD249" s="25">
        <f t="shared" si="248"/>
        <v>0</v>
      </c>
      <c r="BE249" s="25">
        <v>0</v>
      </c>
      <c r="BF249" s="25">
        <f>249</f>
        <v>249</v>
      </c>
      <c r="BH249" s="25">
        <f t="shared" si="249"/>
        <v>0</v>
      </c>
      <c r="BI249" s="25">
        <f t="shared" si="250"/>
        <v>0</v>
      </c>
      <c r="BJ249" s="25">
        <f t="shared" si="251"/>
        <v>0</v>
      </c>
      <c r="BK249" s="27" t="s">
        <v>57</v>
      </c>
      <c r="BL249" s="25">
        <v>721</v>
      </c>
      <c r="BW249" s="25">
        <v>21</v>
      </c>
      <c r="BX249" s="5" t="s">
        <v>765</v>
      </c>
    </row>
    <row r="250" spans="1:76" ht="25.5" x14ac:dyDescent="0.25">
      <c r="A250" s="2" t="s">
        <v>766</v>
      </c>
      <c r="B250" s="3" t="s">
        <v>767</v>
      </c>
      <c r="C250" s="93" t="s">
        <v>768</v>
      </c>
      <c r="D250" s="94"/>
      <c r="E250" s="3" t="s">
        <v>52</v>
      </c>
      <c r="F250" s="25">
        <v>2</v>
      </c>
      <c r="G250" s="25">
        <v>0</v>
      </c>
      <c r="H250" s="25">
        <f t="shared" si="230"/>
        <v>0</v>
      </c>
      <c r="I250" s="25">
        <f t="shared" si="231"/>
        <v>0</v>
      </c>
      <c r="J250" s="25">
        <f t="shared" si="232"/>
        <v>0</v>
      </c>
      <c r="K250" s="26" t="s">
        <v>53</v>
      </c>
      <c r="Z250" s="25">
        <f t="shared" si="233"/>
        <v>0</v>
      </c>
      <c r="AB250" s="25">
        <f t="shared" si="234"/>
        <v>0</v>
      </c>
      <c r="AC250" s="25">
        <f t="shared" si="235"/>
        <v>0</v>
      </c>
      <c r="AD250" s="25">
        <f t="shared" si="236"/>
        <v>0</v>
      </c>
      <c r="AE250" s="25">
        <f t="shared" si="237"/>
        <v>0</v>
      </c>
      <c r="AF250" s="25">
        <f t="shared" si="238"/>
        <v>0</v>
      </c>
      <c r="AG250" s="25">
        <f t="shared" si="239"/>
        <v>0</v>
      </c>
      <c r="AH250" s="25">
        <f t="shared" si="240"/>
        <v>0</v>
      </c>
      <c r="AI250" s="11" t="s">
        <v>46</v>
      </c>
      <c r="AJ250" s="25">
        <f t="shared" si="241"/>
        <v>0</v>
      </c>
      <c r="AK250" s="25">
        <f t="shared" si="242"/>
        <v>0</v>
      </c>
      <c r="AL250" s="25">
        <f t="shared" si="243"/>
        <v>0</v>
      </c>
      <c r="AN250" s="25">
        <v>21</v>
      </c>
      <c r="AO250" s="25">
        <f t="shared" si="252"/>
        <v>0</v>
      </c>
      <c r="AP250" s="25">
        <f t="shared" si="253"/>
        <v>0</v>
      </c>
      <c r="AQ250" s="27" t="s">
        <v>76</v>
      </c>
      <c r="AV250" s="25">
        <f t="shared" si="244"/>
        <v>0</v>
      </c>
      <c r="AW250" s="25">
        <f t="shared" si="245"/>
        <v>0</v>
      </c>
      <c r="AX250" s="25">
        <f t="shared" si="246"/>
        <v>0</v>
      </c>
      <c r="AY250" s="27" t="s">
        <v>584</v>
      </c>
      <c r="AZ250" s="27" t="s">
        <v>585</v>
      </c>
      <c r="BA250" s="11" t="s">
        <v>56</v>
      </c>
      <c r="BC250" s="25">
        <f t="shared" si="247"/>
        <v>0</v>
      </c>
      <c r="BD250" s="25">
        <f t="shared" si="248"/>
        <v>0</v>
      </c>
      <c r="BE250" s="25">
        <v>0</v>
      </c>
      <c r="BF250" s="25">
        <f>250</f>
        <v>250</v>
      </c>
      <c r="BH250" s="25">
        <f t="shared" si="249"/>
        <v>0</v>
      </c>
      <c r="BI250" s="25">
        <f t="shared" si="250"/>
        <v>0</v>
      </c>
      <c r="BJ250" s="25">
        <f t="shared" si="251"/>
        <v>0</v>
      </c>
      <c r="BK250" s="27" t="s">
        <v>57</v>
      </c>
      <c r="BL250" s="25">
        <v>721</v>
      </c>
      <c r="BW250" s="25">
        <v>21</v>
      </c>
      <c r="BX250" s="5" t="s">
        <v>768</v>
      </c>
    </row>
    <row r="251" spans="1:76" x14ac:dyDescent="0.25">
      <c r="A251" s="2" t="s">
        <v>769</v>
      </c>
      <c r="B251" s="3" t="s">
        <v>770</v>
      </c>
      <c r="C251" s="93" t="s">
        <v>771</v>
      </c>
      <c r="D251" s="94"/>
      <c r="E251" s="3" t="s">
        <v>52</v>
      </c>
      <c r="F251" s="25">
        <v>1</v>
      </c>
      <c r="G251" s="25">
        <v>0</v>
      </c>
      <c r="H251" s="25">
        <f t="shared" si="230"/>
        <v>0</v>
      </c>
      <c r="I251" s="25">
        <f t="shared" si="231"/>
        <v>0</v>
      </c>
      <c r="J251" s="25">
        <f t="shared" si="232"/>
        <v>0</v>
      </c>
      <c r="K251" s="26" t="s">
        <v>53</v>
      </c>
      <c r="Z251" s="25">
        <f t="shared" si="233"/>
        <v>0</v>
      </c>
      <c r="AB251" s="25">
        <f t="shared" si="234"/>
        <v>0</v>
      </c>
      <c r="AC251" s="25">
        <f t="shared" si="235"/>
        <v>0</v>
      </c>
      <c r="AD251" s="25">
        <f t="shared" si="236"/>
        <v>0</v>
      </c>
      <c r="AE251" s="25">
        <f t="shared" si="237"/>
        <v>0</v>
      </c>
      <c r="AF251" s="25">
        <f t="shared" si="238"/>
        <v>0</v>
      </c>
      <c r="AG251" s="25">
        <f t="shared" si="239"/>
        <v>0</v>
      </c>
      <c r="AH251" s="25">
        <f t="shared" si="240"/>
        <v>0</v>
      </c>
      <c r="AI251" s="11" t="s">
        <v>46</v>
      </c>
      <c r="AJ251" s="25">
        <f t="shared" si="241"/>
        <v>0</v>
      </c>
      <c r="AK251" s="25">
        <f t="shared" si="242"/>
        <v>0</v>
      </c>
      <c r="AL251" s="25">
        <f t="shared" si="243"/>
        <v>0</v>
      </c>
      <c r="AN251" s="25">
        <v>21</v>
      </c>
      <c r="AO251" s="25">
        <f t="shared" si="252"/>
        <v>0</v>
      </c>
      <c r="AP251" s="25">
        <f t="shared" si="253"/>
        <v>0</v>
      </c>
      <c r="AQ251" s="27" t="s">
        <v>76</v>
      </c>
      <c r="AV251" s="25">
        <f t="shared" si="244"/>
        <v>0</v>
      </c>
      <c r="AW251" s="25">
        <f t="shared" si="245"/>
        <v>0</v>
      </c>
      <c r="AX251" s="25">
        <f t="shared" si="246"/>
        <v>0</v>
      </c>
      <c r="AY251" s="27" t="s">
        <v>584</v>
      </c>
      <c r="AZ251" s="27" t="s">
        <v>585</v>
      </c>
      <c r="BA251" s="11" t="s">
        <v>56</v>
      </c>
      <c r="BC251" s="25">
        <f t="shared" si="247"/>
        <v>0</v>
      </c>
      <c r="BD251" s="25">
        <f t="shared" si="248"/>
        <v>0</v>
      </c>
      <c r="BE251" s="25">
        <v>0</v>
      </c>
      <c r="BF251" s="25">
        <f>251</f>
        <v>251</v>
      </c>
      <c r="BH251" s="25">
        <f t="shared" si="249"/>
        <v>0</v>
      </c>
      <c r="BI251" s="25">
        <f t="shared" si="250"/>
        <v>0</v>
      </c>
      <c r="BJ251" s="25">
        <f t="shared" si="251"/>
        <v>0</v>
      </c>
      <c r="BK251" s="27" t="s">
        <v>57</v>
      </c>
      <c r="BL251" s="25">
        <v>721</v>
      </c>
      <c r="BW251" s="25">
        <v>21</v>
      </c>
      <c r="BX251" s="5" t="s">
        <v>771</v>
      </c>
    </row>
    <row r="252" spans="1:76" x14ac:dyDescent="0.25">
      <c r="A252" s="2" t="s">
        <v>772</v>
      </c>
      <c r="B252" s="3" t="s">
        <v>773</v>
      </c>
      <c r="C252" s="93" t="s">
        <v>774</v>
      </c>
      <c r="D252" s="94"/>
      <c r="E252" s="3" t="s">
        <v>52</v>
      </c>
      <c r="F252" s="25">
        <v>15</v>
      </c>
      <c r="G252" s="25">
        <v>0</v>
      </c>
      <c r="H252" s="25">
        <f t="shared" si="230"/>
        <v>0</v>
      </c>
      <c r="I252" s="25">
        <f t="shared" si="231"/>
        <v>0</v>
      </c>
      <c r="J252" s="25">
        <f t="shared" si="232"/>
        <v>0</v>
      </c>
      <c r="K252" s="26" t="s">
        <v>53</v>
      </c>
      <c r="Z252" s="25">
        <f t="shared" si="233"/>
        <v>0</v>
      </c>
      <c r="AB252" s="25">
        <f t="shared" si="234"/>
        <v>0</v>
      </c>
      <c r="AC252" s="25">
        <f t="shared" si="235"/>
        <v>0</v>
      </c>
      <c r="AD252" s="25">
        <f t="shared" si="236"/>
        <v>0</v>
      </c>
      <c r="AE252" s="25">
        <f t="shared" si="237"/>
        <v>0</v>
      </c>
      <c r="AF252" s="25">
        <f t="shared" si="238"/>
        <v>0</v>
      </c>
      <c r="AG252" s="25">
        <f t="shared" si="239"/>
        <v>0</v>
      </c>
      <c r="AH252" s="25">
        <f t="shared" si="240"/>
        <v>0</v>
      </c>
      <c r="AI252" s="11" t="s">
        <v>46</v>
      </c>
      <c r="AJ252" s="25">
        <f t="shared" si="241"/>
        <v>0</v>
      </c>
      <c r="AK252" s="25">
        <f t="shared" si="242"/>
        <v>0</v>
      </c>
      <c r="AL252" s="25">
        <f t="shared" si="243"/>
        <v>0</v>
      </c>
      <c r="AN252" s="25">
        <v>21</v>
      </c>
      <c r="AO252" s="25">
        <f t="shared" si="252"/>
        <v>0</v>
      </c>
      <c r="AP252" s="25">
        <f t="shared" si="253"/>
        <v>0</v>
      </c>
      <c r="AQ252" s="27" t="s">
        <v>76</v>
      </c>
      <c r="AV252" s="25">
        <f t="shared" si="244"/>
        <v>0</v>
      </c>
      <c r="AW252" s="25">
        <f t="shared" si="245"/>
        <v>0</v>
      </c>
      <c r="AX252" s="25">
        <f t="shared" si="246"/>
        <v>0</v>
      </c>
      <c r="AY252" s="27" t="s">
        <v>584</v>
      </c>
      <c r="AZ252" s="27" t="s">
        <v>585</v>
      </c>
      <c r="BA252" s="11" t="s">
        <v>56</v>
      </c>
      <c r="BC252" s="25">
        <f t="shared" si="247"/>
        <v>0</v>
      </c>
      <c r="BD252" s="25">
        <f t="shared" si="248"/>
        <v>0</v>
      </c>
      <c r="BE252" s="25">
        <v>0</v>
      </c>
      <c r="BF252" s="25">
        <f>252</f>
        <v>252</v>
      </c>
      <c r="BH252" s="25">
        <f t="shared" si="249"/>
        <v>0</v>
      </c>
      <c r="BI252" s="25">
        <f t="shared" si="250"/>
        <v>0</v>
      </c>
      <c r="BJ252" s="25">
        <f t="shared" si="251"/>
        <v>0</v>
      </c>
      <c r="BK252" s="27" t="s">
        <v>57</v>
      </c>
      <c r="BL252" s="25">
        <v>721</v>
      </c>
      <c r="BW252" s="25">
        <v>21</v>
      </c>
      <c r="BX252" s="5" t="s">
        <v>774</v>
      </c>
    </row>
    <row r="253" spans="1:76" x14ac:dyDescent="0.25">
      <c r="A253" s="2" t="s">
        <v>775</v>
      </c>
      <c r="B253" s="3" t="s">
        <v>776</v>
      </c>
      <c r="C253" s="93" t="s">
        <v>777</v>
      </c>
      <c r="D253" s="94"/>
      <c r="E253" s="3" t="s">
        <v>52</v>
      </c>
      <c r="F253" s="25">
        <v>6</v>
      </c>
      <c r="G253" s="25">
        <v>0</v>
      </c>
      <c r="H253" s="25">
        <f t="shared" ref="H253:H272" si="254">ROUND(F253*AO253,2)</f>
        <v>0</v>
      </c>
      <c r="I253" s="25">
        <f t="shared" ref="I253:I272" si="255">ROUND(F253*AP253,2)</f>
        <v>0</v>
      </c>
      <c r="J253" s="25">
        <f t="shared" ref="J253:J272" si="256">ROUND(F253*G253,1)</f>
        <v>0</v>
      </c>
      <c r="K253" s="26" t="s">
        <v>53</v>
      </c>
      <c r="Z253" s="25">
        <f t="shared" ref="Z253:Z272" si="257">ROUND(IF(AQ253="5",BJ253,0),2)</f>
        <v>0</v>
      </c>
      <c r="AB253" s="25">
        <f t="shared" ref="AB253:AB272" si="258">ROUND(IF(AQ253="1",BH253,0),2)</f>
        <v>0</v>
      </c>
      <c r="AC253" s="25">
        <f t="shared" ref="AC253:AC272" si="259">ROUND(IF(AQ253="1",BI253,0),2)</f>
        <v>0</v>
      </c>
      <c r="AD253" s="25">
        <f t="shared" ref="AD253:AD272" si="260">ROUND(IF(AQ253="7",BH253,0),2)</f>
        <v>0</v>
      </c>
      <c r="AE253" s="25">
        <f t="shared" ref="AE253:AE272" si="261">ROUND(IF(AQ253="7",BI253,0),2)</f>
        <v>0</v>
      </c>
      <c r="AF253" s="25">
        <f t="shared" ref="AF253:AF272" si="262">ROUND(IF(AQ253="2",BH253,0),2)</f>
        <v>0</v>
      </c>
      <c r="AG253" s="25">
        <f t="shared" ref="AG253:AG272" si="263">ROUND(IF(AQ253="2",BI253,0),2)</f>
        <v>0</v>
      </c>
      <c r="AH253" s="25">
        <f t="shared" ref="AH253:AH272" si="264">ROUND(IF(AQ253="0",BJ253,0),2)</f>
        <v>0</v>
      </c>
      <c r="AI253" s="11" t="s">
        <v>46</v>
      </c>
      <c r="AJ253" s="25">
        <f t="shared" ref="AJ253:AJ272" si="265">IF(AN253=0,J253,0)</f>
        <v>0</v>
      </c>
      <c r="AK253" s="25">
        <f t="shared" ref="AK253:AK272" si="266">IF(AN253=12,J253,0)</f>
        <v>0</v>
      </c>
      <c r="AL253" s="25">
        <f t="shared" ref="AL253:AL272" si="267">IF(AN253=21,J253,0)</f>
        <v>0</v>
      </c>
      <c r="AN253" s="25">
        <v>21</v>
      </c>
      <c r="AO253" s="25">
        <f t="shared" si="252"/>
        <v>0</v>
      </c>
      <c r="AP253" s="25">
        <f t="shared" si="253"/>
        <v>0</v>
      </c>
      <c r="AQ253" s="27" t="s">
        <v>76</v>
      </c>
      <c r="AV253" s="25">
        <f t="shared" ref="AV253:AV272" si="268">ROUND(AW253+AX253,2)</f>
        <v>0</v>
      </c>
      <c r="AW253" s="25">
        <f t="shared" ref="AW253:AW272" si="269">ROUND(F253*AO253,2)</f>
        <v>0</v>
      </c>
      <c r="AX253" s="25">
        <f t="shared" ref="AX253:AX272" si="270">ROUND(F253*AP253,2)</f>
        <v>0</v>
      </c>
      <c r="AY253" s="27" t="s">
        <v>584</v>
      </c>
      <c r="AZ253" s="27" t="s">
        <v>585</v>
      </c>
      <c r="BA253" s="11" t="s">
        <v>56</v>
      </c>
      <c r="BC253" s="25">
        <f t="shared" ref="BC253:BC272" si="271">AW253+AX253</f>
        <v>0</v>
      </c>
      <c r="BD253" s="25">
        <f t="shared" ref="BD253:BD272" si="272">G253/(100-BE253)*100</f>
        <v>0</v>
      </c>
      <c r="BE253" s="25">
        <v>0</v>
      </c>
      <c r="BF253" s="25">
        <f>253</f>
        <v>253</v>
      </c>
      <c r="BH253" s="25">
        <f t="shared" ref="BH253:BH272" si="273">F253*AO253</f>
        <v>0</v>
      </c>
      <c r="BI253" s="25">
        <f t="shared" ref="BI253:BI272" si="274">F253*AP253</f>
        <v>0</v>
      </c>
      <c r="BJ253" s="25">
        <f t="shared" ref="BJ253:BJ272" si="275">F253*G253</f>
        <v>0</v>
      </c>
      <c r="BK253" s="27" t="s">
        <v>57</v>
      </c>
      <c r="BL253" s="25">
        <v>721</v>
      </c>
      <c r="BW253" s="25">
        <v>21</v>
      </c>
      <c r="BX253" s="5" t="s">
        <v>777</v>
      </c>
    </row>
    <row r="254" spans="1:76" x14ac:dyDescent="0.25">
      <c r="A254" s="2" t="s">
        <v>778</v>
      </c>
      <c r="B254" s="3" t="s">
        <v>779</v>
      </c>
      <c r="C254" s="93" t="s">
        <v>780</v>
      </c>
      <c r="D254" s="94"/>
      <c r="E254" s="3" t="s">
        <v>52</v>
      </c>
      <c r="F254" s="25">
        <v>34</v>
      </c>
      <c r="G254" s="25">
        <v>0</v>
      </c>
      <c r="H254" s="25">
        <f t="shared" si="254"/>
        <v>0</v>
      </c>
      <c r="I254" s="25">
        <f t="shared" si="255"/>
        <v>0</v>
      </c>
      <c r="J254" s="25">
        <f t="shared" si="256"/>
        <v>0</v>
      </c>
      <c r="K254" s="26" t="s">
        <v>53</v>
      </c>
      <c r="Z254" s="25">
        <f t="shared" si="257"/>
        <v>0</v>
      </c>
      <c r="AB254" s="25">
        <f t="shared" si="258"/>
        <v>0</v>
      </c>
      <c r="AC254" s="25">
        <f t="shared" si="259"/>
        <v>0</v>
      </c>
      <c r="AD254" s="25">
        <f t="shared" si="260"/>
        <v>0</v>
      </c>
      <c r="AE254" s="25">
        <f t="shared" si="261"/>
        <v>0</v>
      </c>
      <c r="AF254" s="25">
        <f t="shared" si="262"/>
        <v>0</v>
      </c>
      <c r="AG254" s="25">
        <f t="shared" si="263"/>
        <v>0</v>
      </c>
      <c r="AH254" s="25">
        <f t="shared" si="264"/>
        <v>0</v>
      </c>
      <c r="AI254" s="11" t="s">
        <v>46</v>
      </c>
      <c r="AJ254" s="25">
        <f t="shared" si="265"/>
        <v>0</v>
      </c>
      <c r="AK254" s="25">
        <f t="shared" si="266"/>
        <v>0</v>
      </c>
      <c r="AL254" s="25">
        <f t="shared" si="267"/>
        <v>0</v>
      </c>
      <c r="AN254" s="25">
        <v>21</v>
      </c>
      <c r="AO254" s="25">
        <f t="shared" si="252"/>
        <v>0</v>
      </c>
      <c r="AP254" s="25">
        <f t="shared" si="253"/>
        <v>0</v>
      </c>
      <c r="AQ254" s="27" t="s">
        <v>76</v>
      </c>
      <c r="AV254" s="25">
        <f t="shared" si="268"/>
        <v>0</v>
      </c>
      <c r="AW254" s="25">
        <f t="shared" si="269"/>
        <v>0</v>
      </c>
      <c r="AX254" s="25">
        <f t="shared" si="270"/>
        <v>0</v>
      </c>
      <c r="AY254" s="27" t="s">
        <v>584</v>
      </c>
      <c r="AZ254" s="27" t="s">
        <v>585</v>
      </c>
      <c r="BA254" s="11" t="s">
        <v>56</v>
      </c>
      <c r="BC254" s="25">
        <f t="shared" si="271"/>
        <v>0</v>
      </c>
      <c r="BD254" s="25">
        <f t="shared" si="272"/>
        <v>0</v>
      </c>
      <c r="BE254" s="25">
        <v>0</v>
      </c>
      <c r="BF254" s="25">
        <f>254</f>
        <v>254</v>
      </c>
      <c r="BH254" s="25">
        <f t="shared" si="273"/>
        <v>0</v>
      </c>
      <c r="BI254" s="25">
        <f t="shared" si="274"/>
        <v>0</v>
      </c>
      <c r="BJ254" s="25">
        <f t="shared" si="275"/>
        <v>0</v>
      </c>
      <c r="BK254" s="27" t="s">
        <v>57</v>
      </c>
      <c r="BL254" s="25">
        <v>721</v>
      </c>
      <c r="BW254" s="25">
        <v>21</v>
      </c>
      <c r="BX254" s="5" t="s">
        <v>780</v>
      </c>
    </row>
    <row r="255" spans="1:76" x14ac:dyDescent="0.25">
      <c r="A255" s="2" t="s">
        <v>781</v>
      </c>
      <c r="B255" s="3" t="s">
        <v>782</v>
      </c>
      <c r="C255" s="93" t="s">
        <v>783</v>
      </c>
      <c r="D255" s="94"/>
      <c r="E255" s="3" t="s">
        <v>52</v>
      </c>
      <c r="F255" s="25">
        <v>55</v>
      </c>
      <c r="G255" s="25">
        <v>0</v>
      </c>
      <c r="H255" s="25">
        <f t="shared" si="254"/>
        <v>0</v>
      </c>
      <c r="I255" s="25">
        <f t="shared" si="255"/>
        <v>0</v>
      </c>
      <c r="J255" s="25">
        <f t="shared" si="256"/>
        <v>0</v>
      </c>
      <c r="K255" s="26" t="s">
        <v>53</v>
      </c>
      <c r="Z255" s="25">
        <f t="shared" si="257"/>
        <v>0</v>
      </c>
      <c r="AB255" s="25">
        <f t="shared" si="258"/>
        <v>0</v>
      </c>
      <c r="AC255" s="25">
        <f t="shared" si="259"/>
        <v>0</v>
      </c>
      <c r="AD255" s="25">
        <f t="shared" si="260"/>
        <v>0</v>
      </c>
      <c r="AE255" s="25">
        <f t="shared" si="261"/>
        <v>0</v>
      </c>
      <c r="AF255" s="25">
        <f t="shared" si="262"/>
        <v>0</v>
      </c>
      <c r="AG255" s="25">
        <f t="shared" si="263"/>
        <v>0</v>
      </c>
      <c r="AH255" s="25">
        <f t="shared" si="264"/>
        <v>0</v>
      </c>
      <c r="AI255" s="11" t="s">
        <v>46</v>
      </c>
      <c r="AJ255" s="25">
        <f t="shared" si="265"/>
        <v>0</v>
      </c>
      <c r="AK255" s="25">
        <f t="shared" si="266"/>
        <v>0</v>
      </c>
      <c r="AL255" s="25">
        <f t="shared" si="267"/>
        <v>0</v>
      </c>
      <c r="AN255" s="25">
        <v>21</v>
      </c>
      <c r="AO255" s="25">
        <f t="shared" si="252"/>
        <v>0</v>
      </c>
      <c r="AP255" s="25">
        <f t="shared" si="253"/>
        <v>0</v>
      </c>
      <c r="AQ255" s="27" t="s">
        <v>76</v>
      </c>
      <c r="AV255" s="25">
        <f t="shared" si="268"/>
        <v>0</v>
      </c>
      <c r="AW255" s="25">
        <f t="shared" si="269"/>
        <v>0</v>
      </c>
      <c r="AX255" s="25">
        <f t="shared" si="270"/>
        <v>0</v>
      </c>
      <c r="AY255" s="27" t="s">
        <v>584</v>
      </c>
      <c r="AZ255" s="27" t="s">
        <v>585</v>
      </c>
      <c r="BA255" s="11" t="s">
        <v>56</v>
      </c>
      <c r="BC255" s="25">
        <f t="shared" si="271"/>
        <v>0</v>
      </c>
      <c r="BD255" s="25">
        <f t="shared" si="272"/>
        <v>0</v>
      </c>
      <c r="BE255" s="25">
        <v>0</v>
      </c>
      <c r="BF255" s="25">
        <f>255</f>
        <v>255</v>
      </c>
      <c r="BH255" s="25">
        <f t="shared" si="273"/>
        <v>0</v>
      </c>
      <c r="BI255" s="25">
        <f t="shared" si="274"/>
        <v>0</v>
      </c>
      <c r="BJ255" s="25">
        <f t="shared" si="275"/>
        <v>0</v>
      </c>
      <c r="BK255" s="27" t="s">
        <v>57</v>
      </c>
      <c r="BL255" s="25">
        <v>721</v>
      </c>
      <c r="BW255" s="25">
        <v>21</v>
      </c>
      <c r="BX255" s="5" t="s">
        <v>783</v>
      </c>
    </row>
    <row r="256" spans="1:76" x14ac:dyDescent="0.25">
      <c r="A256" s="2" t="s">
        <v>784</v>
      </c>
      <c r="B256" s="3" t="s">
        <v>785</v>
      </c>
      <c r="C256" s="93" t="s">
        <v>786</v>
      </c>
      <c r="D256" s="94"/>
      <c r="E256" s="3" t="s">
        <v>131</v>
      </c>
      <c r="F256" s="25">
        <v>15</v>
      </c>
      <c r="G256" s="25">
        <v>0</v>
      </c>
      <c r="H256" s="25">
        <f t="shared" si="254"/>
        <v>0</v>
      </c>
      <c r="I256" s="25">
        <f t="shared" si="255"/>
        <v>0</v>
      </c>
      <c r="J256" s="25">
        <f t="shared" si="256"/>
        <v>0</v>
      </c>
      <c r="K256" s="26" t="s">
        <v>53</v>
      </c>
      <c r="Z256" s="25">
        <f t="shared" si="257"/>
        <v>0</v>
      </c>
      <c r="AB256" s="25">
        <f t="shared" si="258"/>
        <v>0</v>
      </c>
      <c r="AC256" s="25">
        <f t="shared" si="259"/>
        <v>0</v>
      </c>
      <c r="AD256" s="25">
        <f t="shared" si="260"/>
        <v>0</v>
      </c>
      <c r="AE256" s="25">
        <f t="shared" si="261"/>
        <v>0</v>
      </c>
      <c r="AF256" s="25">
        <f t="shared" si="262"/>
        <v>0</v>
      </c>
      <c r="AG256" s="25">
        <f t="shared" si="263"/>
        <v>0</v>
      </c>
      <c r="AH256" s="25">
        <f t="shared" si="264"/>
        <v>0</v>
      </c>
      <c r="AI256" s="11" t="s">
        <v>46</v>
      </c>
      <c r="AJ256" s="25">
        <f t="shared" si="265"/>
        <v>0</v>
      </c>
      <c r="AK256" s="25">
        <f t="shared" si="266"/>
        <v>0</v>
      </c>
      <c r="AL256" s="25">
        <f t="shared" si="267"/>
        <v>0</v>
      </c>
      <c r="AN256" s="25">
        <v>21</v>
      </c>
      <c r="AO256" s="25">
        <f>G256*0</f>
        <v>0</v>
      </c>
      <c r="AP256" s="25">
        <f>G256*(1-0)</f>
        <v>0</v>
      </c>
      <c r="AQ256" s="27" t="s">
        <v>76</v>
      </c>
      <c r="AV256" s="25">
        <f t="shared" si="268"/>
        <v>0</v>
      </c>
      <c r="AW256" s="25">
        <f t="shared" si="269"/>
        <v>0</v>
      </c>
      <c r="AX256" s="25">
        <f t="shared" si="270"/>
        <v>0</v>
      </c>
      <c r="AY256" s="27" t="s">
        <v>584</v>
      </c>
      <c r="AZ256" s="27" t="s">
        <v>585</v>
      </c>
      <c r="BA256" s="11" t="s">
        <v>56</v>
      </c>
      <c r="BC256" s="25">
        <f t="shared" si="271"/>
        <v>0</v>
      </c>
      <c r="BD256" s="25">
        <f t="shared" si="272"/>
        <v>0</v>
      </c>
      <c r="BE256" s="25">
        <v>0</v>
      </c>
      <c r="BF256" s="25">
        <f>256</f>
        <v>256</v>
      </c>
      <c r="BH256" s="25">
        <f t="shared" si="273"/>
        <v>0</v>
      </c>
      <c r="BI256" s="25">
        <f t="shared" si="274"/>
        <v>0</v>
      </c>
      <c r="BJ256" s="25">
        <f t="shared" si="275"/>
        <v>0</v>
      </c>
      <c r="BK256" s="27" t="s">
        <v>57</v>
      </c>
      <c r="BL256" s="25">
        <v>721</v>
      </c>
      <c r="BW256" s="25">
        <v>21</v>
      </c>
      <c r="BX256" s="5" t="s">
        <v>786</v>
      </c>
    </row>
    <row r="257" spans="1:76" ht="25.5" x14ac:dyDescent="0.25">
      <c r="A257" s="2" t="s">
        <v>787</v>
      </c>
      <c r="B257" s="3" t="s">
        <v>788</v>
      </c>
      <c r="C257" s="93" t="s">
        <v>789</v>
      </c>
      <c r="D257" s="94"/>
      <c r="E257" s="3" t="s">
        <v>52</v>
      </c>
      <c r="F257" s="25">
        <v>40</v>
      </c>
      <c r="G257" s="25">
        <v>0</v>
      </c>
      <c r="H257" s="25">
        <f t="shared" si="254"/>
        <v>0</v>
      </c>
      <c r="I257" s="25">
        <f t="shared" si="255"/>
        <v>0</v>
      </c>
      <c r="J257" s="25">
        <f t="shared" si="256"/>
        <v>0</v>
      </c>
      <c r="K257" s="26" t="s">
        <v>53</v>
      </c>
      <c r="Z257" s="25">
        <f t="shared" si="257"/>
        <v>0</v>
      </c>
      <c r="AB257" s="25">
        <f t="shared" si="258"/>
        <v>0</v>
      </c>
      <c r="AC257" s="25">
        <f t="shared" si="259"/>
        <v>0</v>
      </c>
      <c r="AD257" s="25">
        <f t="shared" si="260"/>
        <v>0</v>
      </c>
      <c r="AE257" s="25">
        <f t="shared" si="261"/>
        <v>0</v>
      </c>
      <c r="AF257" s="25">
        <f t="shared" si="262"/>
        <v>0</v>
      </c>
      <c r="AG257" s="25">
        <f t="shared" si="263"/>
        <v>0</v>
      </c>
      <c r="AH257" s="25">
        <f t="shared" si="264"/>
        <v>0</v>
      </c>
      <c r="AI257" s="11" t="s">
        <v>46</v>
      </c>
      <c r="AJ257" s="25">
        <f t="shared" si="265"/>
        <v>0</v>
      </c>
      <c r="AK257" s="25">
        <f t="shared" si="266"/>
        <v>0</v>
      </c>
      <c r="AL257" s="25">
        <f t="shared" si="267"/>
        <v>0</v>
      </c>
      <c r="AN257" s="25">
        <v>21</v>
      </c>
      <c r="AO257" s="25">
        <f>G257*0</f>
        <v>0</v>
      </c>
      <c r="AP257" s="25">
        <f>G257*(1-0)</f>
        <v>0</v>
      </c>
      <c r="AQ257" s="27" t="s">
        <v>76</v>
      </c>
      <c r="AV257" s="25">
        <f t="shared" si="268"/>
        <v>0</v>
      </c>
      <c r="AW257" s="25">
        <f t="shared" si="269"/>
        <v>0</v>
      </c>
      <c r="AX257" s="25">
        <f t="shared" si="270"/>
        <v>0</v>
      </c>
      <c r="AY257" s="27" t="s">
        <v>584</v>
      </c>
      <c r="AZ257" s="27" t="s">
        <v>585</v>
      </c>
      <c r="BA257" s="11" t="s">
        <v>56</v>
      </c>
      <c r="BC257" s="25">
        <f t="shared" si="271"/>
        <v>0</v>
      </c>
      <c r="BD257" s="25">
        <f t="shared" si="272"/>
        <v>0</v>
      </c>
      <c r="BE257" s="25">
        <v>0</v>
      </c>
      <c r="BF257" s="25">
        <f>257</f>
        <v>257</v>
      </c>
      <c r="BH257" s="25">
        <f t="shared" si="273"/>
        <v>0</v>
      </c>
      <c r="BI257" s="25">
        <f t="shared" si="274"/>
        <v>0</v>
      </c>
      <c r="BJ257" s="25">
        <f t="shared" si="275"/>
        <v>0</v>
      </c>
      <c r="BK257" s="27" t="s">
        <v>57</v>
      </c>
      <c r="BL257" s="25">
        <v>721</v>
      </c>
      <c r="BW257" s="25">
        <v>21</v>
      </c>
      <c r="BX257" s="5" t="s">
        <v>789</v>
      </c>
    </row>
    <row r="258" spans="1:76" x14ac:dyDescent="0.25">
      <c r="A258" s="2" t="s">
        <v>790</v>
      </c>
      <c r="B258" s="3" t="s">
        <v>791</v>
      </c>
      <c r="C258" s="93" t="s">
        <v>792</v>
      </c>
      <c r="D258" s="94"/>
      <c r="E258" s="3" t="s">
        <v>52</v>
      </c>
      <c r="F258" s="25">
        <v>22</v>
      </c>
      <c r="G258" s="25">
        <v>0</v>
      </c>
      <c r="H258" s="25">
        <f t="shared" si="254"/>
        <v>0</v>
      </c>
      <c r="I258" s="25">
        <f t="shared" si="255"/>
        <v>0</v>
      </c>
      <c r="J258" s="25">
        <f t="shared" si="256"/>
        <v>0</v>
      </c>
      <c r="K258" s="26" t="s">
        <v>53</v>
      </c>
      <c r="Z258" s="25">
        <f t="shared" si="257"/>
        <v>0</v>
      </c>
      <c r="AB258" s="25">
        <f t="shared" si="258"/>
        <v>0</v>
      </c>
      <c r="AC258" s="25">
        <f t="shared" si="259"/>
        <v>0</v>
      </c>
      <c r="AD258" s="25">
        <f t="shared" si="260"/>
        <v>0</v>
      </c>
      <c r="AE258" s="25">
        <f t="shared" si="261"/>
        <v>0</v>
      </c>
      <c r="AF258" s="25">
        <f t="shared" si="262"/>
        <v>0</v>
      </c>
      <c r="AG258" s="25">
        <f t="shared" si="263"/>
        <v>0</v>
      </c>
      <c r="AH258" s="25">
        <f t="shared" si="264"/>
        <v>0</v>
      </c>
      <c r="AI258" s="11" t="s">
        <v>46</v>
      </c>
      <c r="AJ258" s="25">
        <f t="shared" si="265"/>
        <v>0</v>
      </c>
      <c r="AK258" s="25">
        <f t="shared" si="266"/>
        <v>0</v>
      </c>
      <c r="AL258" s="25">
        <f t="shared" si="267"/>
        <v>0</v>
      </c>
      <c r="AN258" s="25">
        <v>21</v>
      </c>
      <c r="AO258" s="25">
        <f>G258*0</f>
        <v>0</v>
      </c>
      <c r="AP258" s="25">
        <f>G258*(1-0)</f>
        <v>0</v>
      </c>
      <c r="AQ258" s="27" t="s">
        <v>76</v>
      </c>
      <c r="AV258" s="25">
        <f t="shared" si="268"/>
        <v>0</v>
      </c>
      <c r="AW258" s="25">
        <f t="shared" si="269"/>
        <v>0</v>
      </c>
      <c r="AX258" s="25">
        <f t="shared" si="270"/>
        <v>0</v>
      </c>
      <c r="AY258" s="27" t="s">
        <v>584</v>
      </c>
      <c r="AZ258" s="27" t="s">
        <v>585</v>
      </c>
      <c r="BA258" s="11" t="s">
        <v>56</v>
      </c>
      <c r="BC258" s="25">
        <f t="shared" si="271"/>
        <v>0</v>
      </c>
      <c r="BD258" s="25">
        <f t="shared" si="272"/>
        <v>0</v>
      </c>
      <c r="BE258" s="25">
        <v>0</v>
      </c>
      <c r="BF258" s="25">
        <f>258</f>
        <v>258</v>
      </c>
      <c r="BH258" s="25">
        <f t="shared" si="273"/>
        <v>0</v>
      </c>
      <c r="BI258" s="25">
        <f t="shared" si="274"/>
        <v>0</v>
      </c>
      <c r="BJ258" s="25">
        <f t="shared" si="275"/>
        <v>0</v>
      </c>
      <c r="BK258" s="27" t="s">
        <v>57</v>
      </c>
      <c r="BL258" s="25">
        <v>721</v>
      </c>
      <c r="BW258" s="25">
        <v>21</v>
      </c>
      <c r="BX258" s="5" t="s">
        <v>792</v>
      </c>
    </row>
    <row r="259" spans="1:76" x14ac:dyDescent="0.25">
      <c r="A259" s="2" t="s">
        <v>793</v>
      </c>
      <c r="B259" s="3" t="s">
        <v>794</v>
      </c>
      <c r="C259" s="93" t="s">
        <v>795</v>
      </c>
      <c r="D259" s="94"/>
      <c r="E259" s="3" t="s">
        <v>796</v>
      </c>
      <c r="F259" s="25">
        <v>250</v>
      </c>
      <c r="G259" s="25">
        <v>0</v>
      </c>
      <c r="H259" s="25">
        <f t="shared" si="254"/>
        <v>0</v>
      </c>
      <c r="I259" s="25">
        <f t="shared" si="255"/>
        <v>0</v>
      </c>
      <c r="J259" s="25">
        <f t="shared" si="256"/>
        <v>0</v>
      </c>
      <c r="K259" s="26" t="s">
        <v>53</v>
      </c>
      <c r="Z259" s="25">
        <f t="shared" si="257"/>
        <v>0</v>
      </c>
      <c r="AB259" s="25">
        <f t="shared" si="258"/>
        <v>0</v>
      </c>
      <c r="AC259" s="25">
        <f t="shared" si="259"/>
        <v>0</v>
      </c>
      <c r="AD259" s="25">
        <f t="shared" si="260"/>
        <v>0</v>
      </c>
      <c r="AE259" s="25">
        <f t="shared" si="261"/>
        <v>0</v>
      </c>
      <c r="AF259" s="25">
        <f t="shared" si="262"/>
        <v>0</v>
      </c>
      <c r="AG259" s="25">
        <f t="shared" si="263"/>
        <v>0</v>
      </c>
      <c r="AH259" s="25">
        <f t="shared" si="264"/>
        <v>0</v>
      </c>
      <c r="AI259" s="11" t="s">
        <v>46</v>
      </c>
      <c r="AJ259" s="25">
        <f t="shared" si="265"/>
        <v>0</v>
      </c>
      <c r="AK259" s="25">
        <f t="shared" si="266"/>
        <v>0</v>
      </c>
      <c r="AL259" s="25">
        <f t="shared" si="267"/>
        <v>0</v>
      </c>
      <c r="AN259" s="25">
        <v>21</v>
      </c>
      <c r="AO259" s="25">
        <f>G259*0</f>
        <v>0</v>
      </c>
      <c r="AP259" s="25">
        <f>G259*(1-0)</f>
        <v>0</v>
      </c>
      <c r="AQ259" s="27" t="s">
        <v>76</v>
      </c>
      <c r="AV259" s="25">
        <f t="shared" si="268"/>
        <v>0</v>
      </c>
      <c r="AW259" s="25">
        <f t="shared" si="269"/>
        <v>0</v>
      </c>
      <c r="AX259" s="25">
        <f t="shared" si="270"/>
        <v>0</v>
      </c>
      <c r="AY259" s="27" t="s">
        <v>584</v>
      </c>
      <c r="AZ259" s="27" t="s">
        <v>585</v>
      </c>
      <c r="BA259" s="11" t="s">
        <v>56</v>
      </c>
      <c r="BC259" s="25">
        <f t="shared" si="271"/>
        <v>0</v>
      </c>
      <c r="BD259" s="25">
        <f t="shared" si="272"/>
        <v>0</v>
      </c>
      <c r="BE259" s="25">
        <v>0</v>
      </c>
      <c r="BF259" s="25">
        <f>259</f>
        <v>259</v>
      </c>
      <c r="BH259" s="25">
        <f t="shared" si="273"/>
        <v>0</v>
      </c>
      <c r="BI259" s="25">
        <f t="shared" si="274"/>
        <v>0</v>
      </c>
      <c r="BJ259" s="25">
        <f t="shared" si="275"/>
        <v>0</v>
      </c>
      <c r="BK259" s="27" t="s">
        <v>57</v>
      </c>
      <c r="BL259" s="25">
        <v>721</v>
      </c>
      <c r="BW259" s="25">
        <v>21</v>
      </c>
      <c r="BX259" s="5" t="s">
        <v>795</v>
      </c>
    </row>
    <row r="260" spans="1:76" x14ac:dyDescent="0.25">
      <c r="A260" s="2" t="s">
        <v>797</v>
      </c>
      <c r="B260" s="3" t="s">
        <v>798</v>
      </c>
      <c r="C260" s="93" t="s">
        <v>799</v>
      </c>
      <c r="D260" s="94"/>
      <c r="E260" s="3" t="s">
        <v>131</v>
      </c>
      <c r="F260" s="25">
        <v>78.400000000000006</v>
      </c>
      <c r="G260" s="25">
        <v>0</v>
      </c>
      <c r="H260" s="25">
        <f t="shared" si="254"/>
        <v>0</v>
      </c>
      <c r="I260" s="25">
        <f t="shared" si="255"/>
        <v>0</v>
      </c>
      <c r="J260" s="25">
        <f t="shared" si="256"/>
        <v>0</v>
      </c>
      <c r="K260" s="26" t="s">
        <v>53</v>
      </c>
      <c r="Z260" s="25">
        <f t="shared" si="257"/>
        <v>0</v>
      </c>
      <c r="AB260" s="25">
        <f t="shared" si="258"/>
        <v>0</v>
      </c>
      <c r="AC260" s="25">
        <f t="shared" si="259"/>
        <v>0</v>
      </c>
      <c r="AD260" s="25">
        <f t="shared" si="260"/>
        <v>0</v>
      </c>
      <c r="AE260" s="25">
        <f t="shared" si="261"/>
        <v>0</v>
      </c>
      <c r="AF260" s="25">
        <f t="shared" si="262"/>
        <v>0</v>
      </c>
      <c r="AG260" s="25">
        <f t="shared" si="263"/>
        <v>0</v>
      </c>
      <c r="AH260" s="25">
        <f t="shared" si="264"/>
        <v>0</v>
      </c>
      <c r="AI260" s="11" t="s">
        <v>46</v>
      </c>
      <c r="AJ260" s="25">
        <f t="shared" si="265"/>
        <v>0</v>
      </c>
      <c r="AK260" s="25">
        <f t="shared" si="266"/>
        <v>0</v>
      </c>
      <c r="AL260" s="25">
        <f t="shared" si="267"/>
        <v>0</v>
      </c>
      <c r="AN260" s="25">
        <v>21</v>
      </c>
      <c r="AO260" s="25">
        <f>G260*0.539998959</f>
        <v>0</v>
      </c>
      <c r="AP260" s="25">
        <f>G260*(1-0.539998959)</f>
        <v>0</v>
      </c>
      <c r="AQ260" s="27" t="s">
        <v>76</v>
      </c>
      <c r="AV260" s="25">
        <f t="shared" si="268"/>
        <v>0</v>
      </c>
      <c r="AW260" s="25">
        <f t="shared" si="269"/>
        <v>0</v>
      </c>
      <c r="AX260" s="25">
        <f t="shared" si="270"/>
        <v>0</v>
      </c>
      <c r="AY260" s="27" t="s">
        <v>584</v>
      </c>
      <c r="AZ260" s="27" t="s">
        <v>585</v>
      </c>
      <c r="BA260" s="11" t="s">
        <v>56</v>
      </c>
      <c r="BC260" s="25">
        <f t="shared" si="271"/>
        <v>0</v>
      </c>
      <c r="BD260" s="25">
        <f t="shared" si="272"/>
        <v>0</v>
      </c>
      <c r="BE260" s="25">
        <v>0</v>
      </c>
      <c r="BF260" s="25">
        <f>260</f>
        <v>260</v>
      </c>
      <c r="BH260" s="25">
        <f t="shared" si="273"/>
        <v>0</v>
      </c>
      <c r="BI260" s="25">
        <f t="shared" si="274"/>
        <v>0</v>
      </c>
      <c r="BJ260" s="25">
        <f t="shared" si="275"/>
        <v>0</v>
      </c>
      <c r="BK260" s="27" t="s">
        <v>57</v>
      </c>
      <c r="BL260" s="25">
        <v>721</v>
      </c>
      <c r="BW260" s="25">
        <v>21</v>
      </c>
      <c r="BX260" s="5" t="s">
        <v>799</v>
      </c>
    </row>
    <row r="261" spans="1:76" x14ac:dyDescent="0.25">
      <c r="A261" s="2" t="s">
        <v>800</v>
      </c>
      <c r="B261" s="3" t="s">
        <v>801</v>
      </c>
      <c r="C261" s="93" t="s">
        <v>802</v>
      </c>
      <c r="D261" s="94"/>
      <c r="E261" s="3" t="s">
        <v>131</v>
      </c>
      <c r="F261" s="25">
        <v>74.3</v>
      </c>
      <c r="G261" s="25">
        <v>0</v>
      </c>
      <c r="H261" s="25">
        <f t="shared" si="254"/>
        <v>0</v>
      </c>
      <c r="I261" s="25">
        <f t="shared" si="255"/>
        <v>0</v>
      </c>
      <c r="J261" s="25">
        <f t="shared" si="256"/>
        <v>0</v>
      </c>
      <c r="K261" s="26" t="s">
        <v>53</v>
      </c>
      <c r="Z261" s="25">
        <f t="shared" si="257"/>
        <v>0</v>
      </c>
      <c r="AB261" s="25">
        <f t="shared" si="258"/>
        <v>0</v>
      </c>
      <c r="AC261" s="25">
        <f t="shared" si="259"/>
        <v>0</v>
      </c>
      <c r="AD261" s="25">
        <f t="shared" si="260"/>
        <v>0</v>
      </c>
      <c r="AE261" s="25">
        <f t="shared" si="261"/>
        <v>0</v>
      </c>
      <c r="AF261" s="25">
        <f t="shared" si="262"/>
        <v>0</v>
      </c>
      <c r="AG261" s="25">
        <f t="shared" si="263"/>
        <v>0</v>
      </c>
      <c r="AH261" s="25">
        <f t="shared" si="264"/>
        <v>0</v>
      </c>
      <c r="AI261" s="11" t="s">
        <v>46</v>
      </c>
      <c r="AJ261" s="25">
        <f t="shared" si="265"/>
        <v>0</v>
      </c>
      <c r="AK261" s="25">
        <f t="shared" si="266"/>
        <v>0</v>
      </c>
      <c r="AL261" s="25">
        <f t="shared" si="267"/>
        <v>0</v>
      </c>
      <c r="AN261" s="25">
        <v>21</v>
      </c>
      <c r="AO261" s="25">
        <f>G261*0.539999559</f>
        <v>0</v>
      </c>
      <c r="AP261" s="25">
        <f>G261*(1-0.539999559)</f>
        <v>0</v>
      </c>
      <c r="AQ261" s="27" t="s">
        <v>76</v>
      </c>
      <c r="AV261" s="25">
        <f t="shared" si="268"/>
        <v>0</v>
      </c>
      <c r="AW261" s="25">
        <f t="shared" si="269"/>
        <v>0</v>
      </c>
      <c r="AX261" s="25">
        <f t="shared" si="270"/>
        <v>0</v>
      </c>
      <c r="AY261" s="27" t="s">
        <v>584</v>
      </c>
      <c r="AZ261" s="27" t="s">
        <v>585</v>
      </c>
      <c r="BA261" s="11" t="s">
        <v>56</v>
      </c>
      <c r="BC261" s="25">
        <f t="shared" si="271"/>
        <v>0</v>
      </c>
      <c r="BD261" s="25">
        <f t="shared" si="272"/>
        <v>0</v>
      </c>
      <c r="BE261" s="25">
        <v>0</v>
      </c>
      <c r="BF261" s="25">
        <f>261</f>
        <v>261</v>
      </c>
      <c r="BH261" s="25">
        <f t="shared" si="273"/>
        <v>0</v>
      </c>
      <c r="BI261" s="25">
        <f t="shared" si="274"/>
        <v>0</v>
      </c>
      <c r="BJ261" s="25">
        <f t="shared" si="275"/>
        <v>0</v>
      </c>
      <c r="BK261" s="27" t="s">
        <v>57</v>
      </c>
      <c r="BL261" s="25">
        <v>721</v>
      </c>
      <c r="BW261" s="25">
        <v>21</v>
      </c>
      <c r="BX261" s="5" t="s">
        <v>802</v>
      </c>
    </row>
    <row r="262" spans="1:76" x14ac:dyDescent="0.25">
      <c r="A262" s="2" t="s">
        <v>803</v>
      </c>
      <c r="B262" s="3" t="s">
        <v>804</v>
      </c>
      <c r="C262" s="93" t="s">
        <v>805</v>
      </c>
      <c r="D262" s="94"/>
      <c r="E262" s="3" t="s">
        <v>131</v>
      </c>
      <c r="F262" s="25">
        <v>5</v>
      </c>
      <c r="G262" s="25">
        <v>0</v>
      </c>
      <c r="H262" s="25">
        <f t="shared" si="254"/>
        <v>0</v>
      </c>
      <c r="I262" s="25">
        <f t="shared" si="255"/>
        <v>0</v>
      </c>
      <c r="J262" s="25">
        <f t="shared" si="256"/>
        <v>0</v>
      </c>
      <c r="K262" s="26" t="s">
        <v>53</v>
      </c>
      <c r="Z262" s="25">
        <f t="shared" si="257"/>
        <v>0</v>
      </c>
      <c r="AB262" s="25">
        <f t="shared" si="258"/>
        <v>0</v>
      </c>
      <c r="AC262" s="25">
        <f t="shared" si="259"/>
        <v>0</v>
      </c>
      <c r="AD262" s="25">
        <f t="shared" si="260"/>
        <v>0</v>
      </c>
      <c r="AE262" s="25">
        <f t="shared" si="261"/>
        <v>0</v>
      </c>
      <c r="AF262" s="25">
        <f t="shared" si="262"/>
        <v>0</v>
      </c>
      <c r="AG262" s="25">
        <f t="shared" si="263"/>
        <v>0</v>
      </c>
      <c r="AH262" s="25">
        <f t="shared" si="264"/>
        <v>0</v>
      </c>
      <c r="AI262" s="11" t="s">
        <v>46</v>
      </c>
      <c r="AJ262" s="25">
        <f t="shared" si="265"/>
        <v>0</v>
      </c>
      <c r="AK262" s="25">
        <f t="shared" si="266"/>
        <v>0</v>
      </c>
      <c r="AL262" s="25">
        <f t="shared" si="267"/>
        <v>0</v>
      </c>
      <c r="AN262" s="25">
        <v>21</v>
      </c>
      <c r="AO262" s="25">
        <f>G262*0.54</f>
        <v>0</v>
      </c>
      <c r="AP262" s="25">
        <f>G262*(1-0.54)</f>
        <v>0</v>
      </c>
      <c r="AQ262" s="27" t="s">
        <v>76</v>
      </c>
      <c r="AV262" s="25">
        <f t="shared" si="268"/>
        <v>0</v>
      </c>
      <c r="AW262" s="25">
        <f t="shared" si="269"/>
        <v>0</v>
      </c>
      <c r="AX262" s="25">
        <f t="shared" si="270"/>
        <v>0</v>
      </c>
      <c r="AY262" s="27" t="s">
        <v>584</v>
      </c>
      <c r="AZ262" s="27" t="s">
        <v>585</v>
      </c>
      <c r="BA262" s="11" t="s">
        <v>56</v>
      </c>
      <c r="BC262" s="25">
        <f t="shared" si="271"/>
        <v>0</v>
      </c>
      <c r="BD262" s="25">
        <f t="shared" si="272"/>
        <v>0</v>
      </c>
      <c r="BE262" s="25">
        <v>0</v>
      </c>
      <c r="BF262" s="25">
        <f>262</f>
        <v>262</v>
      </c>
      <c r="BH262" s="25">
        <f t="shared" si="273"/>
        <v>0</v>
      </c>
      <c r="BI262" s="25">
        <f t="shared" si="274"/>
        <v>0</v>
      </c>
      <c r="BJ262" s="25">
        <f t="shared" si="275"/>
        <v>0</v>
      </c>
      <c r="BK262" s="27" t="s">
        <v>57</v>
      </c>
      <c r="BL262" s="25">
        <v>721</v>
      </c>
      <c r="BW262" s="25">
        <v>21</v>
      </c>
      <c r="BX262" s="5" t="s">
        <v>805</v>
      </c>
    </row>
    <row r="263" spans="1:76" x14ac:dyDescent="0.25">
      <c r="A263" s="2" t="s">
        <v>806</v>
      </c>
      <c r="B263" s="3" t="s">
        <v>807</v>
      </c>
      <c r="C263" s="93" t="s">
        <v>808</v>
      </c>
      <c r="D263" s="94"/>
      <c r="E263" s="3" t="s">
        <v>131</v>
      </c>
      <c r="F263" s="25">
        <v>63</v>
      </c>
      <c r="G263" s="25">
        <v>0</v>
      </c>
      <c r="H263" s="25">
        <f t="shared" si="254"/>
        <v>0</v>
      </c>
      <c r="I263" s="25">
        <f t="shared" si="255"/>
        <v>0</v>
      </c>
      <c r="J263" s="25">
        <f t="shared" si="256"/>
        <v>0</v>
      </c>
      <c r="K263" s="26" t="s">
        <v>53</v>
      </c>
      <c r="Z263" s="25">
        <f t="shared" si="257"/>
        <v>0</v>
      </c>
      <c r="AB263" s="25">
        <f t="shared" si="258"/>
        <v>0</v>
      </c>
      <c r="AC263" s="25">
        <f t="shared" si="259"/>
        <v>0</v>
      </c>
      <c r="AD263" s="25">
        <f t="shared" si="260"/>
        <v>0</v>
      </c>
      <c r="AE263" s="25">
        <f t="shared" si="261"/>
        <v>0</v>
      </c>
      <c r="AF263" s="25">
        <f t="shared" si="262"/>
        <v>0</v>
      </c>
      <c r="AG263" s="25">
        <f t="shared" si="263"/>
        <v>0</v>
      </c>
      <c r="AH263" s="25">
        <f t="shared" si="264"/>
        <v>0</v>
      </c>
      <c r="AI263" s="11" t="s">
        <v>46</v>
      </c>
      <c r="AJ263" s="25">
        <f t="shared" si="265"/>
        <v>0</v>
      </c>
      <c r="AK263" s="25">
        <f t="shared" si="266"/>
        <v>0</v>
      </c>
      <c r="AL263" s="25">
        <f t="shared" si="267"/>
        <v>0</v>
      </c>
      <c r="AN263" s="25">
        <v>21</v>
      </c>
      <c r="AO263" s="25">
        <f>G263*0.54</f>
        <v>0</v>
      </c>
      <c r="AP263" s="25">
        <f>G263*(1-0.54)</f>
        <v>0</v>
      </c>
      <c r="AQ263" s="27" t="s">
        <v>76</v>
      </c>
      <c r="AV263" s="25">
        <f t="shared" si="268"/>
        <v>0</v>
      </c>
      <c r="AW263" s="25">
        <f t="shared" si="269"/>
        <v>0</v>
      </c>
      <c r="AX263" s="25">
        <f t="shared" si="270"/>
        <v>0</v>
      </c>
      <c r="AY263" s="27" t="s">
        <v>584</v>
      </c>
      <c r="AZ263" s="27" t="s">
        <v>585</v>
      </c>
      <c r="BA263" s="11" t="s">
        <v>56</v>
      </c>
      <c r="BC263" s="25">
        <f t="shared" si="271"/>
        <v>0</v>
      </c>
      <c r="BD263" s="25">
        <f t="shared" si="272"/>
        <v>0</v>
      </c>
      <c r="BE263" s="25">
        <v>0</v>
      </c>
      <c r="BF263" s="25">
        <f>263</f>
        <v>263</v>
      </c>
      <c r="BH263" s="25">
        <f t="shared" si="273"/>
        <v>0</v>
      </c>
      <c r="BI263" s="25">
        <f t="shared" si="274"/>
        <v>0</v>
      </c>
      <c r="BJ263" s="25">
        <f t="shared" si="275"/>
        <v>0</v>
      </c>
      <c r="BK263" s="27" t="s">
        <v>57</v>
      </c>
      <c r="BL263" s="25">
        <v>721</v>
      </c>
      <c r="BW263" s="25">
        <v>21</v>
      </c>
      <c r="BX263" s="5" t="s">
        <v>808</v>
      </c>
    </row>
    <row r="264" spans="1:76" x14ac:dyDescent="0.25">
      <c r="A264" s="2" t="s">
        <v>809</v>
      </c>
      <c r="B264" s="3" t="s">
        <v>810</v>
      </c>
      <c r="C264" s="93" t="s">
        <v>811</v>
      </c>
      <c r="D264" s="94"/>
      <c r="E264" s="3" t="s">
        <v>131</v>
      </c>
      <c r="F264" s="25">
        <v>75</v>
      </c>
      <c r="G264" s="25">
        <v>0</v>
      </c>
      <c r="H264" s="25">
        <f t="shared" si="254"/>
        <v>0</v>
      </c>
      <c r="I264" s="25">
        <f t="shared" si="255"/>
        <v>0</v>
      </c>
      <c r="J264" s="25">
        <f t="shared" si="256"/>
        <v>0</v>
      </c>
      <c r="K264" s="26" t="s">
        <v>53</v>
      </c>
      <c r="Z264" s="25">
        <f t="shared" si="257"/>
        <v>0</v>
      </c>
      <c r="AB264" s="25">
        <f t="shared" si="258"/>
        <v>0</v>
      </c>
      <c r="AC264" s="25">
        <f t="shared" si="259"/>
        <v>0</v>
      </c>
      <c r="AD264" s="25">
        <f t="shared" si="260"/>
        <v>0</v>
      </c>
      <c r="AE264" s="25">
        <f t="shared" si="261"/>
        <v>0</v>
      </c>
      <c r="AF264" s="25">
        <f t="shared" si="262"/>
        <v>0</v>
      </c>
      <c r="AG264" s="25">
        <f t="shared" si="263"/>
        <v>0</v>
      </c>
      <c r="AH264" s="25">
        <f t="shared" si="264"/>
        <v>0</v>
      </c>
      <c r="AI264" s="11" t="s">
        <v>46</v>
      </c>
      <c r="AJ264" s="25">
        <f t="shared" si="265"/>
        <v>0</v>
      </c>
      <c r="AK264" s="25">
        <f t="shared" si="266"/>
        <v>0</v>
      </c>
      <c r="AL264" s="25">
        <f t="shared" si="267"/>
        <v>0</v>
      </c>
      <c r="AN264" s="25">
        <v>21</v>
      </c>
      <c r="AO264" s="25">
        <f>G264*0.54</f>
        <v>0</v>
      </c>
      <c r="AP264" s="25">
        <f>G264*(1-0.54)</f>
        <v>0</v>
      </c>
      <c r="AQ264" s="27" t="s">
        <v>76</v>
      </c>
      <c r="AV264" s="25">
        <f t="shared" si="268"/>
        <v>0</v>
      </c>
      <c r="AW264" s="25">
        <f t="shared" si="269"/>
        <v>0</v>
      </c>
      <c r="AX264" s="25">
        <f t="shared" si="270"/>
        <v>0</v>
      </c>
      <c r="AY264" s="27" t="s">
        <v>584</v>
      </c>
      <c r="AZ264" s="27" t="s">
        <v>585</v>
      </c>
      <c r="BA264" s="11" t="s">
        <v>56</v>
      </c>
      <c r="BC264" s="25">
        <f t="shared" si="271"/>
        <v>0</v>
      </c>
      <c r="BD264" s="25">
        <f t="shared" si="272"/>
        <v>0</v>
      </c>
      <c r="BE264" s="25">
        <v>0</v>
      </c>
      <c r="BF264" s="25">
        <f>264</f>
        <v>264</v>
      </c>
      <c r="BH264" s="25">
        <f t="shared" si="273"/>
        <v>0</v>
      </c>
      <c r="BI264" s="25">
        <f t="shared" si="274"/>
        <v>0</v>
      </c>
      <c r="BJ264" s="25">
        <f t="shared" si="275"/>
        <v>0</v>
      </c>
      <c r="BK264" s="27" t="s">
        <v>57</v>
      </c>
      <c r="BL264" s="25">
        <v>721</v>
      </c>
      <c r="BW264" s="25">
        <v>21</v>
      </c>
      <c r="BX264" s="5" t="s">
        <v>811</v>
      </c>
    </row>
    <row r="265" spans="1:76" x14ac:dyDescent="0.25">
      <c r="A265" s="2" t="s">
        <v>812</v>
      </c>
      <c r="B265" s="3" t="s">
        <v>813</v>
      </c>
      <c r="C265" s="93" t="s">
        <v>814</v>
      </c>
      <c r="D265" s="94"/>
      <c r="E265" s="3" t="s">
        <v>52</v>
      </c>
      <c r="F265" s="25">
        <v>15</v>
      </c>
      <c r="G265" s="25">
        <v>0</v>
      </c>
      <c r="H265" s="25">
        <f t="shared" si="254"/>
        <v>0</v>
      </c>
      <c r="I265" s="25">
        <f t="shared" si="255"/>
        <v>0</v>
      </c>
      <c r="J265" s="25">
        <f t="shared" si="256"/>
        <v>0</v>
      </c>
      <c r="K265" s="26" t="s">
        <v>53</v>
      </c>
      <c r="Z265" s="25">
        <f t="shared" si="257"/>
        <v>0</v>
      </c>
      <c r="AB265" s="25">
        <f t="shared" si="258"/>
        <v>0</v>
      </c>
      <c r="AC265" s="25">
        <f t="shared" si="259"/>
        <v>0</v>
      </c>
      <c r="AD265" s="25">
        <f t="shared" si="260"/>
        <v>0</v>
      </c>
      <c r="AE265" s="25">
        <f t="shared" si="261"/>
        <v>0</v>
      </c>
      <c r="AF265" s="25">
        <f t="shared" si="262"/>
        <v>0</v>
      </c>
      <c r="AG265" s="25">
        <f t="shared" si="263"/>
        <v>0</v>
      </c>
      <c r="AH265" s="25">
        <f t="shared" si="264"/>
        <v>0</v>
      </c>
      <c r="AI265" s="11" t="s">
        <v>46</v>
      </c>
      <c r="AJ265" s="25">
        <f t="shared" si="265"/>
        <v>0</v>
      </c>
      <c r="AK265" s="25">
        <f t="shared" si="266"/>
        <v>0</v>
      </c>
      <c r="AL265" s="25">
        <f t="shared" si="267"/>
        <v>0</v>
      </c>
      <c r="AN265" s="25">
        <v>21</v>
      </c>
      <c r="AO265" s="25">
        <f>G265*0.54</f>
        <v>0</v>
      </c>
      <c r="AP265" s="25">
        <f>G265*(1-0.54)</f>
        <v>0</v>
      </c>
      <c r="AQ265" s="27" t="s">
        <v>76</v>
      </c>
      <c r="AV265" s="25">
        <f t="shared" si="268"/>
        <v>0</v>
      </c>
      <c r="AW265" s="25">
        <f t="shared" si="269"/>
        <v>0</v>
      </c>
      <c r="AX265" s="25">
        <f t="shared" si="270"/>
        <v>0</v>
      </c>
      <c r="AY265" s="27" t="s">
        <v>584</v>
      </c>
      <c r="AZ265" s="27" t="s">
        <v>585</v>
      </c>
      <c r="BA265" s="11" t="s">
        <v>56</v>
      </c>
      <c r="BC265" s="25">
        <f t="shared" si="271"/>
        <v>0</v>
      </c>
      <c r="BD265" s="25">
        <f t="shared" si="272"/>
        <v>0</v>
      </c>
      <c r="BE265" s="25">
        <v>0</v>
      </c>
      <c r="BF265" s="25">
        <f>265</f>
        <v>265</v>
      </c>
      <c r="BH265" s="25">
        <f t="shared" si="273"/>
        <v>0</v>
      </c>
      <c r="BI265" s="25">
        <f t="shared" si="274"/>
        <v>0</v>
      </c>
      <c r="BJ265" s="25">
        <f t="shared" si="275"/>
        <v>0</v>
      </c>
      <c r="BK265" s="27" t="s">
        <v>57</v>
      </c>
      <c r="BL265" s="25">
        <v>721</v>
      </c>
      <c r="BW265" s="25">
        <v>21</v>
      </c>
      <c r="BX265" s="5" t="s">
        <v>814</v>
      </c>
    </row>
    <row r="266" spans="1:76" x14ac:dyDescent="0.25">
      <c r="A266" s="2" t="s">
        <v>815</v>
      </c>
      <c r="B266" s="3" t="s">
        <v>816</v>
      </c>
      <c r="C266" s="93" t="s">
        <v>817</v>
      </c>
      <c r="D266" s="94"/>
      <c r="E266" s="3" t="s">
        <v>131</v>
      </c>
      <c r="F266" s="25">
        <v>200</v>
      </c>
      <c r="G266" s="25">
        <v>0</v>
      </c>
      <c r="H266" s="25">
        <f t="shared" si="254"/>
        <v>0</v>
      </c>
      <c r="I266" s="25">
        <f t="shared" si="255"/>
        <v>0</v>
      </c>
      <c r="J266" s="25">
        <f t="shared" si="256"/>
        <v>0</v>
      </c>
      <c r="K266" s="26" t="s">
        <v>53</v>
      </c>
      <c r="Z266" s="25">
        <f t="shared" si="257"/>
        <v>0</v>
      </c>
      <c r="AB266" s="25">
        <f t="shared" si="258"/>
        <v>0</v>
      </c>
      <c r="AC266" s="25">
        <f t="shared" si="259"/>
        <v>0</v>
      </c>
      <c r="AD266" s="25">
        <f t="shared" si="260"/>
        <v>0</v>
      </c>
      <c r="AE266" s="25">
        <f t="shared" si="261"/>
        <v>0</v>
      </c>
      <c r="AF266" s="25">
        <f t="shared" si="262"/>
        <v>0</v>
      </c>
      <c r="AG266" s="25">
        <f t="shared" si="263"/>
        <v>0</v>
      </c>
      <c r="AH266" s="25">
        <f t="shared" si="264"/>
        <v>0</v>
      </c>
      <c r="AI266" s="11" t="s">
        <v>46</v>
      </c>
      <c r="AJ266" s="25">
        <f t="shared" si="265"/>
        <v>0</v>
      </c>
      <c r="AK266" s="25">
        <f t="shared" si="266"/>
        <v>0</v>
      </c>
      <c r="AL266" s="25">
        <f t="shared" si="267"/>
        <v>0</v>
      </c>
      <c r="AN266" s="25">
        <v>21</v>
      </c>
      <c r="AO266" s="25">
        <f t="shared" ref="AO266:AO272" si="276">G266*0</f>
        <v>0</v>
      </c>
      <c r="AP266" s="25">
        <f t="shared" ref="AP266:AP272" si="277">G266*(1-0)</f>
        <v>0</v>
      </c>
      <c r="AQ266" s="27" t="s">
        <v>76</v>
      </c>
      <c r="AV266" s="25">
        <f t="shared" si="268"/>
        <v>0</v>
      </c>
      <c r="AW266" s="25">
        <f t="shared" si="269"/>
        <v>0</v>
      </c>
      <c r="AX266" s="25">
        <f t="shared" si="270"/>
        <v>0</v>
      </c>
      <c r="AY266" s="27" t="s">
        <v>584</v>
      </c>
      <c r="AZ266" s="27" t="s">
        <v>585</v>
      </c>
      <c r="BA266" s="11" t="s">
        <v>56</v>
      </c>
      <c r="BC266" s="25">
        <f t="shared" si="271"/>
        <v>0</v>
      </c>
      <c r="BD266" s="25">
        <f t="shared" si="272"/>
        <v>0</v>
      </c>
      <c r="BE266" s="25">
        <v>0</v>
      </c>
      <c r="BF266" s="25">
        <f>266</f>
        <v>266</v>
      </c>
      <c r="BH266" s="25">
        <f t="shared" si="273"/>
        <v>0</v>
      </c>
      <c r="BI266" s="25">
        <f t="shared" si="274"/>
        <v>0</v>
      </c>
      <c r="BJ266" s="25">
        <f t="shared" si="275"/>
        <v>0</v>
      </c>
      <c r="BK266" s="27" t="s">
        <v>57</v>
      </c>
      <c r="BL266" s="25">
        <v>721</v>
      </c>
      <c r="BW266" s="25">
        <v>21</v>
      </c>
      <c r="BX266" s="5" t="s">
        <v>817</v>
      </c>
    </row>
    <row r="267" spans="1:76" x14ac:dyDescent="0.25">
      <c r="A267" s="2" t="s">
        <v>818</v>
      </c>
      <c r="B267" s="3" t="s">
        <v>819</v>
      </c>
      <c r="C267" s="93" t="s">
        <v>820</v>
      </c>
      <c r="D267" s="94"/>
      <c r="E267" s="3" t="s">
        <v>131</v>
      </c>
      <c r="F267" s="25">
        <v>200</v>
      </c>
      <c r="G267" s="25">
        <v>0</v>
      </c>
      <c r="H267" s="25">
        <f t="shared" si="254"/>
        <v>0</v>
      </c>
      <c r="I267" s="25">
        <f t="shared" si="255"/>
        <v>0</v>
      </c>
      <c r="J267" s="25">
        <f t="shared" si="256"/>
        <v>0</v>
      </c>
      <c r="K267" s="26" t="s">
        <v>53</v>
      </c>
      <c r="Z267" s="25">
        <f t="shared" si="257"/>
        <v>0</v>
      </c>
      <c r="AB267" s="25">
        <f t="shared" si="258"/>
        <v>0</v>
      </c>
      <c r="AC267" s="25">
        <f t="shared" si="259"/>
        <v>0</v>
      </c>
      <c r="AD267" s="25">
        <f t="shared" si="260"/>
        <v>0</v>
      </c>
      <c r="AE267" s="25">
        <f t="shared" si="261"/>
        <v>0</v>
      </c>
      <c r="AF267" s="25">
        <f t="shared" si="262"/>
        <v>0</v>
      </c>
      <c r="AG267" s="25">
        <f t="shared" si="263"/>
        <v>0</v>
      </c>
      <c r="AH267" s="25">
        <f t="shared" si="264"/>
        <v>0</v>
      </c>
      <c r="AI267" s="11" t="s">
        <v>46</v>
      </c>
      <c r="AJ267" s="25">
        <f t="shared" si="265"/>
        <v>0</v>
      </c>
      <c r="AK267" s="25">
        <f t="shared" si="266"/>
        <v>0</v>
      </c>
      <c r="AL267" s="25">
        <f t="shared" si="267"/>
        <v>0</v>
      </c>
      <c r="AN267" s="25">
        <v>21</v>
      </c>
      <c r="AO267" s="25">
        <f t="shared" si="276"/>
        <v>0</v>
      </c>
      <c r="AP267" s="25">
        <f t="shared" si="277"/>
        <v>0</v>
      </c>
      <c r="AQ267" s="27" t="s">
        <v>76</v>
      </c>
      <c r="AV267" s="25">
        <f t="shared" si="268"/>
        <v>0</v>
      </c>
      <c r="AW267" s="25">
        <f t="shared" si="269"/>
        <v>0</v>
      </c>
      <c r="AX267" s="25">
        <f t="shared" si="270"/>
        <v>0</v>
      </c>
      <c r="AY267" s="27" t="s">
        <v>584</v>
      </c>
      <c r="AZ267" s="27" t="s">
        <v>585</v>
      </c>
      <c r="BA267" s="11" t="s">
        <v>56</v>
      </c>
      <c r="BC267" s="25">
        <f t="shared" si="271"/>
        <v>0</v>
      </c>
      <c r="BD267" s="25">
        <f t="shared" si="272"/>
        <v>0</v>
      </c>
      <c r="BE267" s="25">
        <v>0</v>
      </c>
      <c r="BF267" s="25">
        <f>267</f>
        <v>267</v>
      </c>
      <c r="BH267" s="25">
        <f t="shared" si="273"/>
        <v>0</v>
      </c>
      <c r="BI267" s="25">
        <f t="shared" si="274"/>
        <v>0</v>
      </c>
      <c r="BJ267" s="25">
        <f t="shared" si="275"/>
        <v>0</v>
      </c>
      <c r="BK267" s="27" t="s">
        <v>57</v>
      </c>
      <c r="BL267" s="25">
        <v>721</v>
      </c>
      <c r="BW267" s="25">
        <v>21</v>
      </c>
      <c r="BX267" s="5" t="s">
        <v>820</v>
      </c>
    </row>
    <row r="268" spans="1:76" x14ac:dyDescent="0.25">
      <c r="A268" s="2" t="s">
        <v>821</v>
      </c>
      <c r="B268" s="3" t="s">
        <v>822</v>
      </c>
      <c r="C268" s="93" t="s">
        <v>823</v>
      </c>
      <c r="D268" s="94"/>
      <c r="E268" s="3" t="s">
        <v>131</v>
      </c>
      <c r="F268" s="25">
        <v>200</v>
      </c>
      <c r="G268" s="25">
        <v>0</v>
      </c>
      <c r="H268" s="25">
        <f t="shared" si="254"/>
        <v>0</v>
      </c>
      <c r="I268" s="25">
        <f t="shared" si="255"/>
        <v>0</v>
      </c>
      <c r="J268" s="25">
        <f t="shared" si="256"/>
        <v>0</v>
      </c>
      <c r="K268" s="26" t="s">
        <v>53</v>
      </c>
      <c r="Z268" s="25">
        <f t="shared" si="257"/>
        <v>0</v>
      </c>
      <c r="AB268" s="25">
        <f t="shared" si="258"/>
        <v>0</v>
      </c>
      <c r="AC268" s="25">
        <f t="shared" si="259"/>
        <v>0</v>
      </c>
      <c r="AD268" s="25">
        <f t="shared" si="260"/>
        <v>0</v>
      </c>
      <c r="AE268" s="25">
        <f t="shared" si="261"/>
        <v>0</v>
      </c>
      <c r="AF268" s="25">
        <f t="shared" si="262"/>
        <v>0</v>
      </c>
      <c r="AG268" s="25">
        <f t="shared" si="263"/>
        <v>0</v>
      </c>
      <c r="AH268" s="25">
        <f t="shared" si="264"/>
        <v>0</v>
      </c>
      <c r="AI268" s="11" t="s">
        <v>46</v>
      </c>
      <c r="AJ268" s="25">
        <f t="shared" si="265"/>
        <v>0</v>
      </c>
      <c r="AK268" s="25">
        <f t="shared" si="266"/>
        <v>0</v>
      </c>
      <c r="AL268" s="25">
        <f t="shared" si="267"/>
        <v>0</v>
      </c>
      <c r="AN268" s="25">
        <v>21</v>
      </c>
      <c r="AO268" s="25">
        <f t="shared" si="276"/>
        <v>0</v>
      </c>
      <c r="AP268" s="25">
        <f t="shared" si="277"/>
        <v>0</v>
      </c>
      <c r="AQ268" s="27" t="s">
        <v>76</v>
      </c>
      <c r="AV268" s="25">
        <f t="shared" si="268"/>
        <v>0</v>
      </c>
      <c r="AW268" s="25">
        <f t="shared" si="269"/>
        <v>0</v>
      </c>
      <c r="AX268" s="25">
        <f t="shared" si="270"/>
        <v>0</v>
      </c>
      <c r="AY268" s="27" t="s">
        <v>584</v>
      </c>
      <c r="AZ268" s="27" t="s">
        <v>585</v>
      </c>
      <c r="BA268" s="11" t="s">
        <v>56</v>
      </c>
      <c r="BC268" s="25">
        <f t="shared" si="271"/>
        <v>0</v>
      </c>
      <c r="BD268" s="25">
        <f t="shared" si="272"/>
        <v>0</v>
      </c>
      <c r="BE268" s="25">
        <v>0</v>
      </c>
      <c r="BF268" s="25">
        <f>268</f>
        <v>268</v>
      </c>
      <c r="BH268" s="25">
        <f t="shared" si="273"/>
        <v>0</v>
      </c>
      <c r="BI268" s="25">
        <f t="shared" si="274"/>
        <v>0</v>
      </c>
      <c r="BJ268" s="25">
        <f t="shared" si="275"/>
        <v>0</v>
      </c>
      <c r="BK268" s="27" t="s">
        <v>57</v>
      </c>
      <c r="BL268" s="25">
        <v>721</v>
      </c>
      <c r="BW268" s="25">
        <v>21</v>
      </c>
      <c r="BX268" s="5" t="s">
        <v>823</v>
      </c>
    </row>
    <row r="269" spans="1:76" x14ac:dyDescent="0.25">
      <c r="A269" s="2" t="s">
        <v>824</v>
      </c>
      <c r="B269" s="3" t="s">
        <v>825</v>
      </c>
      <c r="C269" s="93" t="s">
        <v>826</v>
      </c>
      <c r="D269" s="94"/>
      <c r="E269" s="3" t="s">
        <v>796</v>
      </c>
      <c r="F269" s="25">
        <v>120</v>
      </c>
      <c r="G269" s="25">
        <v>0</v>
      </c>
      <c r="H269" s="25">
        <f t="shared" si="254"/>
        <v>0</v>
      </c>
      <c r="I269" s="25">
        <f t="shared" si="255"/>
        <v>0</v>
      </c>
      <c r="J269" s="25">
        <f t="shared" si="256"/>
        <v>0</v>
      </c>
      <c r="K269" s="26" t="s">
        <v>53</v>
      </c>
      <c r="Z269" s="25">
        <f t="shared" si="257"/>
        <v>0</v>
      </c>
      <c r="AB269" s="25">
        <f t="shared" si="258"/>
        <v>0</v>
      </c>
      <c r="AC269" s="25">
        <f t="shared" si="259"/>
        <v>0</v>
      </c>
      <c r="AD269" s="25">
        <f t="shared" si="260"/>
        <v>0</v>
      </c>
      <c r="AE269" s="25">
        <f t="shared" si="261"/>
        <v>0</v>
      </c>
      <c r="AF269" s="25">
        <f t="shared" si="262"/>
        <v>0</v>
      </c>
      <c r="AG269" s="25">
        <f t="shared" si="263"/>
        <v>0</v>
      </c>
      <c r="AH269" s="25">
        <f t="shared" si="264"/>
        <v>0</v>
      </c>
      <c r="AI269" s="11" t="s">
        <v>46</v>
      </c>
      <c r="AJ269" s="25">
        <f t="shared" si="265"/>
        <v>0</v>
      </c>
      <c r="AK269" s="25">
        <f t="shared" si="266"/>
        <v>0</v>
      </c>
      <c r="AL269" s="25">
        <f t="shared" si="267"/>
        <v>0</v>
      </c>
      <c r="AN269" s="25">
        <v>21</v>
      </c>
      <c r="AO269" s="25">
        <f t="shared" si="276"/>
        <v>0</v>
      </c>
      <c r="AP269" s="25">
        <f t="shared" si="277"/>
        <v>0</v>
      </c>
      <c r="AQ269" s="27" t="s">
        <v>76</v>
      </c>
      <c r="AV269" s="25">
        <f t="shared" si="268"/>
        <v>0</v>
      </c>
      <c r="AW269" s="25">
        <f t="shared" si="269"/>
        <v>0</v>
      </c>
      <c r="AX269" s="25">
        <f t="shared" si="270"/>
        <v>0</v>
      </c>
      <c r="AY269" s="27" t="s">
        <v>584</v>
      </c>
      <c r="AZ269" s="27" t="s">
        <v>585</v>
      </c>
      <c r="BA269" s="11" t="s">
        <v>56</v>
      </c>
      <c r="BC269" s="25">
        <f t="shared" si="271"/>
        <v>0</v>
      </c>
      <c r="BD269" s="25">
        <f t="shared" si="272"/>
        <v>0</v>
      </c>
      <c r="BE269" s="25">
        <v>0</v>
      </c>
      <c r="BF269" s="25">
        <f>269</f>
        <v>269</v>
      </c>
      <c r="BH269" s="25">
        <f t="shared" si="273"/>
        <v>0</v>
      </c>
      <c r="BI269" s="25">
        <f t="shared" si="274"/>
        <v>0</v>
      </c>
      <c r="BJ269" s="25">
        <f t="shared" si="275"/>
        <v>0</v>
      </c>
      <c r="BK269" s="27" t="s">
        <v>57</v>
      </c>
      <c r="BL269" s="25">
        <v>721</v>
      </c>
      <c r="BW269" s="25">
        <v>21</v>
      </c>
      <c r="BX269" s="5" t="s">
        <v>826</v>
      </c>
    </row>
    <row r="270" spans="1:76" x14ac:dyDescent="0.25">
      <c r="A270" s="2" t="s">
        <v>827</v>
      </c>
      <c r="B270" s="3" t="s">
        <v>828</v>
      </c>
      <c r="C270" s="93" t="s">
        <v>829</v>
      </c>
      <c r="D270" s="94"/>
      <c r="E270" s="3" t="s">
        <v>52</v>
      </c>
      <c r="F270" s="25">
        <v>1</v>
      </c>
      <c r="G270" s="25">
        <v>0</v>
      </c>
      <c r="H270" s="25">
        <f t="shared" si="254"/>
        <v>0</v>
      </c>
      <c r="I270" s="25">
        <f t="shared" si="255"/>
        <v>0</v>
      </c>
      <c r="J270" s="25">
        <f t="shared" si="256"/>
        <v>0</v>
      </c>
      <c r="K270" s="26" t="s">
        <v>53</v>
      </c>
      <c r="Z270" s="25">
        <f t="shared" si="257"/>
        <v>0</v>
      </c>
      <c r="AB270" s="25">
        <f t="shared" si="258"/>
        <v>0</v>
      </c>
      <c r="AC270" s="25">
        <f t="shared" si="259"/>
        <v>0</v>
      </c>
      <c r="AD270" s="25">
        <f t="shared" si="260"/>
        <v>0</v>
      </c>
      <c r="AE270" s="25">
        <f t="shared" si="261"/>
        <v>0</v>
      </c>
      <c r="AF270" s="25">
        <f t="shared" si="262"/>
        <v>0</v>
      </c>
      <c r="AG270" s="25">
        <f t="shared" si="263"/>
        <v>0</v>
      </c>
      <c r="AH270" s="25">
        <f t="shared" si="264"/>
        <v>0</v>
      </c>
      <c r="AI270" s="11" t="s">
        <v>46</v>
      </c>
      <c r="AJ270" s="25">
        <f t="shared" si="265"/>
        <v>0</v>
      </c>
      <c r="AK270" s="25">
        <f t="shared" si="266"/>
        <v>0</v>
      </c>
      <c r="AL270" s="25">
        <f t="shared" si="267"/>
        <v>0</v>
      </c>
      <c r="AN270" s="25">
        <v>21</v>
      </c>
      <c r="AO270" s="25">
        <f t="shared" si="276"/>
        <v>0</v>
      </c>
      <c r="AP270" s="25">
        <f t="shared" si="277"/>
        <v>0</v>
      </c>
      <c r="AQ270" s="27" t="s">
        <v>76</v>
      </c>
      <c r="AV270" s="25">
        <f t="shared" si="268"/>
        <v>0</v>
      </c>
      <c r="AW270" s="25">
        <f t="shared" si="269"/>
        <v>0</v>
      </c>
      <c r="AX270" s="25">
        <f t="shared" si="270"/>
        <v>0</v>
      </c>
      <c r="AY270" s="27" t="s">
        <v>584</v>
      </c>
      <c r="AZ270" s="27" t="s">
        <v>585</v>
      </c>
      <c r="BA270" s="11" t="s">
        <v>56</v>
      </c>
      <c r="BC270" s="25">
        <f t="shared" si="271"/>
        <v>0</v>
      </c>
      <c r="BD270" s="25">
        <f t="shared" si="272"/>
        <v>0</v>
      </c>
      <c r="BE270" s="25">
        <v>0</v>
      </c>
      <c r="BF270" s="25">
        <f>270</f>
        <v>270</v>
      </c>
      <c r="BH270" s="25">
        <f t="shared" si="273"/>
        <v>0</v>
      </c>
      <c r="BI270" s="25">
        <f t="shared" si="274"/>
        <v>0</v>
      </c>
      <c r="BJ270" s="25">
        <f t="shared" si="275"/>
        <v>0</v>
      </c>
      <c r="BK270" s="27" t="s">
        <v>57</v>
      </c>
      <c r="BL270" s="25">
        <v>721</v>
      </c>
      <c r="BW270" s="25">
        <v>21</v>
      </c>
      <c r="BX270" s="5" t="s">
        <v>829</v>
      </c>
    </row>
    <row r="271" spans="1:76" x14ac:dyDescent="0.25">
      <c r="A271" s="2" t="s">
        <v>830</v>
      </c>
      <c r="B271" s="3" t="s">
        <v>831</v>
      </c>
      <c r="C271" s="93" t="s">
        <v>832</v>
      </c>
      <c r="D271" s="94"/>
      <c r="E271" s="3" t="s">
        <v>52</v>
      </c>
      <c r="F271" s="25">
        <v>1</v>
      </c>
      <c r="G271" s="25">
        <v>0</v>
      </c>
      <c r="H271" s="25">
        <f t="shared" si="254"/>
        <v>0</v>
      </c>
      <c r="I271" s="25">
        <f t="shared" si="255"/>
        <v>0</v>
      </c>
      <c r="J271" s="25">
        <f t="shared" si="256"/>
        <v>0</v>
      </c>
      <c r="K271" s="26" t="s">
        <v>53</v>
      </c>
      <c r="Z271" s="25">
        <f t="shared" si="257"/>
        <v>0</v>
      </c>
      <c r="AB271" s="25">
        <f t="shared" si="258"/>
        <v>0</v>
      </c>
      <c r="AC271" s="25">
        <f t="shared" si="259"/>
        <v>0</v>
      </c>
      <c r="AD271" s="25">
        <f t="shared" si="260"/>
        <v>0</v>
      </c>
      <c r="AE271" s="25">
        <f t="shared" si="261"/>
        <v>0</v>
      </c>
      <c r="AF271" s="25">
        <f t="shared" si="262"/>
        <v>0</v>
      </c>
      <c r="AG271" s="25">
        <f t="shared" si="263"/>
        <v>0</v>
      </c>
      <c r="AH271" s="25">
        <f t="shared" si="264"/>
        <v>0</v>
      </c>
      <c r="AI271" s="11" t="s">
        <v>46</v>
      </c>
      <c r="AJ271" s="25">
        <f t="shared" si="265"/>
        <v>0</v>
      </c>
      <c r="AK271" s="25">
        <f t="shared" si="266"/>
        <v>0</v>
      </c>
      <c r="AL271" s="25">
        <f t="shared" si="267"/>
        <v>0</v>
      </c>
      <c r="AN271" s="25">
        <v>21</v>
      </c>
      <c r="AO271" s="25">
        <f t="shared" si="276"/>
        <v>0</v>
      </c>
      <c r="AP271" s="25">
        <f t="shared" si="277"/>
        <v>0</v>
      </c>
      <c r="AQ271" s="27" t="s">
        <v>76</v>
      </c>
      <c r="AV271" s="25">
        <f t="shared" si="268"/>
        <v>0</v>
      </c>
      <c r="AW271" s="25">
        <f t="shared" si="269"/>
        <v>0</v>
      </c>
      <c r="AX271" s="25">
        <f t="shared" si="270"/>
        <v>0</v>
      </c>
      <c r="AY271" s="27" t="s">
        <v>584</v>
      </c>
      <c r="AZ271" s="27" t="s">
        <v>585</v>
      </c>
      <c r="BA271" s="11" t="s">
        <v>56</v>
      </c>
      <c r="BC271" s="25">
        <f t="shared" si="271"/>
        <v>0</v>
      </c>
      <c r="BD271" s="25">
        <f t="shared" si="272"/>
        <v>0</v>
      </c>
      <c r="BE271" s="25">
        <v>0</v>
      </c>
      <c r="BF271" s="25">
        <f>271</f>
        <v>271</v>
      </c>
      <c r="BH271" s="25">
        <f t="shared" si="273"/>
        <v>0</v>
      </c>
      <c r="BI271" s="25">
        <f t="shared" si="274"/>
        <v>0</v>
      </c>
      <c r="BJ271" s="25">
        <f t="shared" si="275"/>
        <v>0</v>
      </c>
      <c r="BK271" s="27" t="s">
        <v>57</v>
      </c>
      <c r="BL271" s="25">
        <v>721</v>
      </c>
      <c r="BW271" s="25">
        <v>21</v>
      </c>
      <c r="BX271" s="5" t="s">
        <v>832</v>
      </c>
    </row>
    <row r="272" spans="1:76" x14ac:dyDescent="0.25">
      <c r="A272" s="2" t="s">
        <v>833</v>
      </c>
      <c r="B272" s="3" t="s">
        <v>834</v>
      </c>
      <c r="C272" s="93" t="s">
        <v>835</v>
      </c>
      <c r="D272" s="94"/>
      <c r="E272" s="3" t="s">
        <v>52</v>
      </c>
      <c r="F272" s="25">
        <v>1</v>
      </c>
      <c r="G272" s="25">
        <v>0</v>
      </c>
      <c r="H272" s="25">
        <f t="shared" si="254"/>
        <v>0</v>
      </c>
      <c r="I272" s="25">
        <f t="shared" si="255"/>
        <v>0</v>
      </c>
      <c r="J272" s="25">
        <f t="shared" si="256"/>
        <v>0</v>
      </c>
      <c r="K272" s="26" t="s">
        <v>53</v>
      </c>
      <c r="Z272" s="25">
        <f t="shared" si="257"/>
        <v>0</v>
      </c>
      <c r="AB272" s="25">
        <f t="shared" si="258"/>
        <v>0</v>
      </c>
      <c r="AC272" s="25">
        <f t="shared" si="259"/>
        <v>0</v>
      </c>
      <c r="AD272" s="25">
        <f t="shared" si="260"/>
        <v>0</v>
      </c>
      <c r="AE272" s="25">
        <f t="shared" si="261"/>
        <v>0</v>
      </c>
      <c r="AF272" s="25">
        <f t="shared" si="262"/>
        <v>0</v>
      </c>
      <c r="AG272" s="25">
        <f t="shared" si="263"/>
        <v>0</v>
      </c>
      <c r="AH272" s="25">
        <f t="shared" si="264"/>
        <v>0</v>
      </c>
      <c r="AI272" s="11" t="s">
        <v>46</v>
      </c>
      <c r="AJ272" s="25">
        <f t="shared" si="265"/>
        <v>0</v>
      </c>
      <c r="AK272" s="25">
        <f t="shared" si="266"/>
        <v>0</v>
      </c>
      <c r="AL272" s="25">
        <f t="shared" si="267"/>
        <v>0</v>
      </c>
      <c r="AN272" s="25">
        <v>21</v>
      </c>
      <c r="AO272" s="25">
        <f t="shared" si="276"/>
        <v>0</v>
      </c>
      <c r="AP272" s="25">
        <f t="shared" si="277"/>
        <v>0</v>
      </c>
      <c r="AQ272" s="27" t="s">
        <v>76</v>
      </c>
      <c r="AV272" s="25">
        <f t="shared" si="268"/>
        <v>0</v>
      </c>
      <c r="AW272" s="25">
        <f t="shared" si="269"/>
        <v>0</v>
      </c>
      <c r="AX272" s="25">
        <f t="shared" si="270"/>
        <v>0</v>
      </c>
      <c r="AY272" s="27" t="s">
        <v>584</v>
      </c>
      <c r="AZ272" s="27" t="s">
        <v>585</v>
      </c>
      <c r="BA272" s="11" t="s">
        <v>56</v>
      </c>
      <c r="BC272" s="25">
        <f t="shared" si="271"/>
        <v>0</v>
      </c>
      <c r="BD272" s="25">
        <f t="shared" si="272"/>
        <v>0</v>
      </c>
      <c r="BE272" s="25">
        <v>0</v>
      </c>
      <c r="BF272" s="25">
        <f>272</f>
        <v>272</v>
      </c>
      <c r="BH272" s="25">
        <f t="shared" si="273"/>
        <v>0</v>
      </c>
      <c r="BI272" s="25">
        <f t="shared" si="274"/>
        <v>0</v>
      </c>
      <c r="BJ272" s="25">
        <f t="shared" si="275"/>
        <v>0</v>
      </c>
      <c r="BK272" s="27" t="s">
        <v>57</v>
      </c>
      <c r="BL272" s="25">
        <v>721</v>
      </c>
      <c r="BW272" s="25">
        <v>21</v>
      </c>
      <c r="BX272" s="5" t="s">
        <v>835</v>
      </c>
    </row>
    <row r="273" spans="1:76" x14ac:dyDescent="0.25">
      <c r="A273" s="28" t="s">
        <v>46</v>
      </c>
      <c r="B273" s="29" t="s">
        <v>836</v>
      </c>
      <c r="C273" s="150" t="s">
        <v>837</v>
      </c>
      <c r="D273" s="151"/>
      <c r="E273" s="30" t="s">
        <v>4</v>
      </c>
      <c r="F273" s="30" t="s">
        <v>4</v>
      </c>
      <c r="G273" s="30" t="s">
        <v>4</v>
      </c>
      <c r="H273" s="1">
        <f>ROUND(SUM(H274:H336),1)</f>
        <v>0</v>
      </c>
      <c r="I273" s="1">
        <f>ROUND(SUM(I274:I336),1)</f>
        <v>0</v>
      </c>
      <c r="J273" s="1">
        <f>ROUND(SUM(J274:J336),1)</f>
        <v>0</v>
      </c>
      <c r="K273" s="31" t="s">
        <v>46</v>
      </c>
      <c r="AI273" s="11" t="s">
        <v>46</v>
      </c>
      <c r="AS273" s="1">
        <f>SUM(AJ274:AJ336)</f>
        <v>0</v>
      </c>
      <c r="AT273" s="1">
        <f>SUM(AK274:AK336)</f>
        <v>0</v>
      </c>
      <c r="AU273" s="1">
        <f>SUM(AL274:AL336)</f>
        <v>0</v>
      </c>
    </row>
    <row r="274" spans="1:76" x14ac:dyDescent="0.25">
      <c r="A274" s="2" t="s">
        <v>838</v>
      </c>
      <c r="B274" s="3" t="s">
        <v>839</v>
      </c>
      <c r="C274" s="93" t="s">
        <v>840</v>
      </c>
      <c r="D274" s="94"/>
      <c r="E274" s="3" t="s">
        <v>131</v>
      </c>
      <c r="F274" s="25">
        <v>167.2</v>
      </c>
      <c r="G274" s="25">
        <v>0</v>
      </c>
      <c r="H274" s="25">
        <f t="shared" ref="H274:H305" si="278">ROUND(F274*AO274,2)</f>
        <v>0</v>
      </c>
      <c r="I274" s="25">
        <f t="shared" ref="I274:I305" si="279">ROUND(F274*AP274,2)</f>
        <v>0</v>
      </c>
      <c r="J274" s="25">
        <f t="shared" ref="J274:J305" si="280">ROUND(F274*G274,1)</f>
        <v>0</v>
      </c>
      <c r="K274" s="26" t="s">
        <v>53</v>
      </c>
      <c r="Z274" s="25">
        <f t="shared" ref="Z274:Z305" si="281">ROUND(IF(AQ274="5",BJ274,0),2)</f>
        <v>0</v>
      </c>
      <c r="AB274" s="25">
        <f t="shared" ref="AB274:AB305" si="282">ROUND(IF(AQ274="1",BH274,0),2)</f>
        <v>0</v>
      </c>
      <c r="AC274" s="25">
        <f t="shared" ref="AC274:AC305" si="283">ROUND(IF(AQ274="1",BI274,0),2)</f>
        <v>0</v>
      </c>
      <c r="AD274" s="25">
        <f t="shared" ref="AD274:AD305" si="284">ROUND(IF(AQ274="7",BH274,0),2)</f>
        <v>0</v>
      </c>
      <c r="AE274" s="25">
        <f t="shared" ref="AE274:AE305" si="285">ROUND(IF(AQ274="7",BI274,0),2)</f>
        <v>0</v>
      </c>
      <c r="AF274" s="25">
        <f t="shared" ref="AF274:AF305" si="286">ROUND(IF(AQ274="2",BH274,0),2)</f>
        <v>0</v>
      </c>
      <c r="AG274" s="25">
        <f t="shared" ref="AG274:AG305" si="287">ROUND(IF(AQ274="2",BI274,0),2)</f>
        <v>0</v>
      </c>
      <c r="AH274" s="25">
        <f t="shared" ref="AH274:AH305" si="288">ROUND(IF(AQ274="0",BJ274,0),2)</f>
        <v>0</v>
      </c>
      <c r="AI274" s="11" t="s">
        <v>46</v>
      </c>
      <c r="AJ274" s="25">
        <f t="shared" ref="AJ274:AJ305" si="289">IF(AN274=0,J274,0)</f>
        <v>0</v>
      </c>
      <c r="AK274" s="25">
        <f t="shared" ref="AK274:AK305" si="290">IF(AN274=12,J274,0)</f>
        <v>0</v>
      </c>
      <c r="AL274" s="25">
        <f t="shared" ref="AL274:AL305" si="291">IF(AN274=21,J274,0)</f>
        <v>0</v>
      </c>
      <c r="AN274" s="25">
        <v>21</v>
      </c>
      <c r="AO274" s="25">
        <f t="shared" ref="AO274:AO283" si="292">G274*0</f>
        <v>0</v>
      </c>
      <c r="AP274" s="25">
        <f t="shared" ref="AP274:AP283" si="293">G274*(1-0)</f>
        <v>0</v>
      </c>
      <c r="AQ274" s="27" t="s">
        <v>76</v>
      </c>
      <c r="AV274" s="25">
        <f t="shared" ref="AV274:AV305" si="294">ROUND(AW274+AX274,2)</f>
        <v>0</v>
      </c>
      <c r="AW274" s="25">
        <f t="shared" ref="AW274:AW305" si="295">ROUND(F274*AO274,2)</f>
        <v>0</v>
      </c>
      <c r="AX274" s="25">
        <f t="shared" ref="AX274:AX305" si="296">ROUND(F274*AP274,2)</f>
        <v>0</v>
      </c>
      <c r="AY274" s="27" t="s">
        <v>841</v>
      </c>
      <c r="AZ274" s="27" t="s">
        <v>585</v>
      </c>
      <c r="BA274" s="11" t="s">
        <v>56</v>
      </c>
      <c r="BC274" s="25">
        <f t="shared" ref="BC274:BC305" si="297">AW274+AX274</f>
        <v>0</v>
      </c>
      <c r="BD274" s="25">
        <f t="shared" ref="BD274:BD305" si="298">G274/(100-BE274)*100</f>
        <v>0</v>
      </c>
      <c r="BE274" s="25">
        <v>0</v>
      </c>
      <c r="BF274" s="25">
        <f>274</f>
        <v>274</v>
      </c>
      <c r="BH274" s="25">
        <f t="shared" ref="BH274:BH305" si="299">F274*AO274</f>
        <v>0</v>
      </c>
      <c r="BI274" s="25">
        <f t="shared" ref="BI274:BI305" si="300">F274*AP274</f>
        <v>0</v>
      </c>
      <c r="BJ274" s="25">
        <f t="shared" ref="BJ274:BJ305" si="301">F274*G274</f>
        <v>0</v>
      </c>
      <c r="BK274" s="27" t="s">
        <v>57</v>
      </c>
      <c r="BL274" s="25">
        <v>722</v>
      </c>
      <c r="BW274" s="25">
        <v>21</v>
      </c>
      <c r="BX274" s="5" t="s">
        <v>840</v>
      </c>
    </row>
    <row r="275" spans="1:76" ht="25.5" x14ac:dyDescent="0.25">
      <c r="A275" s="2" t="s">
        <v>842</v>
      </c>
      <c r="B275" s="3" t="s">
        <v>843</v>
      </c>
      <c r="C275" s="93" t="s">
        <v>844</v>
      </c>
      <c r="D275" s="94"/>
      <c r="E275" s="3" t="s">
        <v>52</v>
      </c>
      <c r="F275" s="25">
        <v>5</v>
      </c>
      <c r="G275" s="25">
        <v>0</v>
      </c>
      <c r="H275" s="25">
        <f t="shared" si="278"/>
        <v>0</v>
      </c>
      <c r="I275" s="25">
        <f t="shared" si="279"/>
        <v>0</v>
      </c>
      <c r="J275" s="25">
        <f t="shared" si="280"/>
        <v>0</v>
      </c>
      <c r="K275" s="26" t="s">
        <v>53</v>
      </c>
      <c r="Z275" s="25">
        <f t="shared" si="281"/>
        <v>0</v>
      </c>
      <c r="AB275" s="25">
        <f t="shared" si="282"/>
        <v>0</v>
      </c>
      <c r="AC275" s="25">
        <f t="shared" si="283"/>
        <v>0</v>
      </c>
      <c r="AD275" s="25">
        <f t="shared" si="284"/>
        <v>0</v>
      </c>
      <c r="AE275" s="25">
        <f t="shared" si="285"/>
        <v>0</v>
      </c>
      <c r="AF275" s="25">
        <f t="shared" si="286"/>
        <v>0</v>
      </c>
      <c r="AG275" s="25">
        <f t="shared" si="287"/>
        <v>0</v>
      </c>
      <c r="AH275" s="25">
        <f t="shared" si="288"/>
        <v>0</v>
      </c>
      <c r="AI275" s="11" t="s">
        <v>46</v>
      </c>
      <c r="AJ275" s="25">
        <f t="shared" si="289"/>
        <v>0</v>
      </c>
      <c r="AK275" s="25">
        <f t="shared" si="290"/>
        <v>0</v>
      </c>
      <c r="AL275" s="25">
        <f t="shared" si="291"/>
        <v>0</v>
      </c>
      <c r="AN275" s="25">
        <v>21</v>
      </c>
      <c r="AO275" s="25">
        <f t="shared" si="292"/>
        <v>0</v>
      </c>
      <c r="AP275" s="25">
        <f t="shared" si="293"/>
        <v>0</v>
      </c>
      <c r="AQ275" s="27" t="s">
        <v>76</v>
      </c>
      <c r="AV275" s="25">
        <f t="shared" si="294"/>
        <v>0</v>
      </c>
      <c r="AW275" s="25">
        <f t="shared" si="295"/>
        <v>0</v>
      </c>
      <c r="AX275" s="25">
        <f t="shared" si="296"/>
        <v>0</v>
      </c>
      <c r="AY275" s="27" t="s">
        <v>841</v>
      </c>
      <c r="AZ275" s="27" t="s">
        <v>585</v>
      </c>
      <c r="BA275" s="11" t="s">
        <v>56</v>
      </c>
      <c r="BC275" s="25">
        <f t="shared" si="297"/>
        <v>0</v>
      </c>
      <c r="BD275" s="25">
        <f t="shared" si="298"/>
        <v>0</v>
      </c>
      <c r="BE275" s="25">
        <v>0</v>
      </c>
      <c r="BF275" s="25">
        <f>275</f>
        <v>275</v>
      </c>
      <c r="BH275" s="25">
        <f t="shared" si="299"/>
        <v>0</v>
      </c>
      <c r="BI275" s="25">
        <f t="shared" si="300"/>
        <v>0</v>
      </c>
      <c r="BJ275" s="25">
        <f t="shared" si="301"/>
        <v>0</v>
      </c>
      <c r="BK275" s="27" t="s">
        <v>57</v>
      </c>
      <c r="BL275" s="25">
        <v>722</v>
      </c>
      <c r="BW275" s="25">
        <v>21</v>
      </c>
      <c r="BX275" s="5" t="s">
        <v>844</v>
      </c>
    </row>
    <row r="276" spans="1:76" ht="25.5" x14ac:dyDescent="0.25">
      <c r="A276" s="2" t="s">
        <v>845</v>
      </c>
      <c r="B276" s="3" t="s">
        <v>846</v>
      </c>
      <c r="C276" s="93" t="s">
        <v>847</v>
      </c>
      <c r="D276" s="94"/>
      <c r="E276" s="3" t="s">
        <v>52</v>
      </c>
      <c r="F276" s="25">
        <v>20</v>
      </c>
      <c r="G276" s="25">
        <v>0</v>
      </c>
      <c r="H276" s="25">
        <f t="shared" si="278"/>
        <v>0</v>
      </c>
      <c r="I276" s="25">
        <f t="shared" si="279"/>
        <v>0</v>
      </c>
      <c r="J276" s="25">
        <f t="shared" si="280"/>
        <v>0</v>
      </c>
      <c r="K276" s="26" t="s">
        <v>53</v>
      </c>
      <c r="Z276" s="25">
        <f t="shared" si="281"/>
        <v>0</v>
      </c>
      <c r="AB276" s="25">
        <f t="shared" si="282"/>
        <v>0</v>
      </c>
      <c r="AC276" s="25">
        <f t="shared" si="283"/>
        <v>0</v>
      </c>
      <c r="AD276" s="25">
        <f t="shared" si="284"/>
        <v>0</v>
      </c>
      <c r="AE276" s="25">
        <f t="shared" si="285"/>
        <v>0</v>
      </c>
      <c r="AF276" s="25">
        <f t="shared" si="286"/>
        <v>0</v>
      </c>
      <c r="AG276" s="25">
        <f t="shared" si="287"/>
        <v>0</v>
      </c>
      <c r="AH276" s="25">
        <f t="shared" si="288"/>
        <v>0</v>
      </c>
      <c r="AI276" s="11" t="s">
        <v>46</v>
      </c>
      <c r="AJ276" s="25">
        <f t="shared" si="289"/>
        <v>0</v>
      </c>
      <c r="AK276" s="25">
        <f t="shared" si="290"/>
        <v>0</v>
      </c>
      <c r="AL276" s="25">
        <f t="shared" si="291"/>
        <v>0</v>
      </c>
      <c r="AN276" s="25">
        <v>21</v>
      </c>
      <c r="AO276" s="25">
        <f t="shared" si="292"/>
        <v>0</v>
      </c>
      <c r="AP276" s="25">
        <f t="shared" si="293"/>
        <v>0</v>
      </c>
      <c r="AQ276" s="27" t="s">
        <v>76</v>
      </c>
      <c r="AV276" s="25">
        <f t="shared" si="294"/>
        <v>0</v>
      </c>
      <c r="AW276" s="25">
        <f t="shared" si="295"/>
        <v>0</v>
      </c>
      <c r="AX276" s="25">
        <f t="shared" si="296"/>
        <v>0</v>
      </c>
      <c r="AY276" s="27" t="s">
        <v>841</v>
      </c>
      <c r="AZ276" s="27" t="s">
        <v>585</v>
      </c>
      <c r="BA276" s="11" t="s">
        <v>56</v>
      </c>
      <c r="BC276" s="25">
        <f t="shared" si="297"/>
        <v>0</v>
      </c>
      <c r="BD276" s="25">
        <f t="shared" si="298"/>
        <v>0</v>
      </c>
      <c r="BE276" s="25">
        <v>0</v>
      </c>
      <c r="BF276" s="25">
        <f>276</f>
        <v>276</v>
      </c>
      <c r="BH276" s="25">
        <f t="shared" si="299"/>
        <v>0</v>
      </c>
      <c r="BI276" s="25">
        <f t="shared" si="300"/>
        <v>0</v>
      </c>
      <c r="BJ276" s="25">
        <f t="shared" si="301"/>
        <v>0</v>
      </c>
      <c r="BK276" s="27" t="s">
        <v>57</v>
      </c>
      <c r="BL276" s="25">
        <v>722</v>
      </c>
      <c r="BW276" s="25">
        <v>21</v>
      </c>
      <c r="BX276" s="5" t="s">
        <v>847</v>
      </c>
    </row>
    <row r="277" spans="1:76" ht="25.5" x14ac:dyDescent="0.25">
      <c r="A277" s="2" t="s">
        <v>848</v>
      </c>
      <c r="B277" s="3" t="s">
        <v>849</v>
      </c>
      <c r="C277" s="93" t="s">
        <v>850</v>
      </c>
      <c r="D277" s="94"/>
      <c r="E277" s="3" t="s">
        <v>52</v>
      </c>
      <c r="F277" s="25">
        <v>8</v>
      </c>
      <c r="G277" s="25">
        <v>0</v>
      </c>
      <c r="H277" s="25">
        <f t="shared" si="278"/>
        <v>0</v>
      </c>
      <c r="I277" s="25">
        <f t="shared" si="279"/>
        <v>0</v>
      </c>
      <c r="J277" s="25">
        <f t="shared" si="280"/>
        <v>0</v>
      </c>
      <c r="K277" s="26" t="s">
        <v>53</v>
      </c>
      <c r="Z277" s="25">
        <f t="shared" si="281"/>
        <v>0</v>
      </c>
      <c r="AB277" s="25">
        <f t="shared" si="282"/>
        <v>0</v>
      </c>
      <c r="AC277" s="25">
        <f t="shared" si="283"/>
        <v>0</v>
      </c>
      <c r="AD277" s="25">
        <f t="shared" si="284"/>
        <v>0</v>
      </c>
      <c r="AE277" s="25">
        <f t="shared" si="285"/>
        <v>0</v>
      </c>
      <c r="AF277" s="25">
        <f t="shared" si="286"/>
        <v>0</v>
      </c>
      <c r="AG277" s="25">
        <f t="shared" si="287"/>
        <v>0</v>
      </c>
      <c r="AH277" s="25">
        <f t="shared" si="288"/>
        <v>0</v>
      </c>
      <c r="AI277" s="11" t="s">
        <v>46</v>
      </c>
      <c r="AJ277" s="25">
        <f t="shared" si="289"/>
        <v>0</v>
      </c>
      <c r="AK277" s="25">
        <f t="shared" si="290"/>
        <v>0</v>
      </c>
      <c r="AL277" s="25">
        <f t="shared" si="291"/>
        <v>0</v>
      </c>
      <c r="AN277" s="25">
        <v>21</v>
      </c>
      <c r="AO277" s="25">
        <f t="shared" si="292"/>
        <v>0</v>
      </c>
      <c r="AP277" s="25">
        <f t="shared" si="293"/>
        <v>0</v>
      </c>
      <c r="AQ277" s="27" t="s">
        <v>76</v>
      </c>
      <c r="AV277" s="25">
        <f t="shared" si="294"/>
        <v>0</v>
      </c>
      <c r="AW277" s="25">
        <f t="shared" si="295"/>
        <v>0</v>
      </c>
      <c r="AX277" s="25">
        <f t="shared" si="296"/>
        <v>0</v>
      </c>
      <c r="AY277" s="27" t="s">
        <v>841</v>
      </c>
      <c r="AZ277" s="27" t="s">
        <v>585</v>
      </c>
      <c r="BA277" s="11" t="s">
        <v>56</v>
      </c>
      <c r="BC277" s="25">
        <f t="shared" si="297"/>
        <v>0</v>
      </c>
      <c r="BD277" s="25">
        <f t="shared" si="298"/>
        <v>0</v>
      </c>
      <c r="BE277" s="25">
        <v>0</v>
      </c>
      <c r="BF277" s="25">
        <f>277</f>
        <v>277</v>
      </c>
      <c r="BH277" s="25">
        <f t="shared" si="299"/>
        <v>0</v>
      </c>
      <c r="BI277" s="25">
        <f t="shared" si="300"/>
        <v>0</v>
      </c>
      <c r="BJ277" s="25">
        <f t="shared" si="301"/>
        <v>0</v>
      </c>
      <c r="BK277" s="27" t="s">
        <v>57</v>
      </c>
      <c r="BL277" s="25">
        <v>722</v>
      </c>
      <c r="BW277" s="25">
        <v>21</v>
      </c>
      <c r="BX277" s="5" t="s">
        <v>850</v>
      </c>
    </row>
    <row r="278" spans="1:76" x14ac:dyDescent="0.25">
      <c r="A278" s="2" t="s">
        <v>851</v>
      </c>
      <c r="B278" s="3" t="s">
        <v>852</v>
      </c>
      <c r="C278" s="93" t="s">
        <v>853</v>
      </c>
      <c r="D278" s="94"/>
      <c r="E278" s="3" t="s">
        <v>52</v>
      </c>
      <c r="F278" s="25">
        <v>6</v>
      </c>
      <c r="G278" s="25">
        <v>0</v>
      </c>
      <c r="H278" s="25">
        <f t="shared" si="278"/>
        <v>0</v>
      </c>
      <c r="I278" s="25">
        <f t="shared" si="279"/>
        <v>0</v>
      </c>
      <c r="J278" s="25">
        <f t="shared" si="280"/>
        <v>0</v>
      </c>
      <c r="K278" s="26" t="s">
        <v>53</v>
      </c>
      <c r="Z278" s="25">
        <f t="shared" si="281"/>
        <v>0</v>
      </c>
      <c r="AB278" s="25">
        <f t="shared" si="282"/>
        <v>0</v>
      </c>
      <c r="AC278" s="25">
        <f t="shared" si="283"/>
        <v>0</v>
      </c>
      <c r="AD278" s="25">
        <f t="shared" si="284"/>
        <v>0</v>
      </c>
      <c r="AE278" s="25">
        <f t="shared" si="285"/>
        <v>0</v>
      </c>
      <c r="AF278" s="25">
        <f t="shared" si="286"/>
        <v>0</v>
      </c>
      <c r="AG278" s="25">
        <f t="shared" si="287"/>
        <v>0</v>
      </c>
      <c r="AH278" s="25">
        <f t="shared" si="288"/>
        <v>0</v>
      </c>
      <c r="AI278" s="11" t="s">
        <v>46</v>
      </c>
      <c r="AJ278" s="25">
        <f t="shared" si="289"/>
        <v>0</v>
      </c>
      <c r="AK278" s="25">
        <f t="shared" si="290"/>
        <v>0</v>
      </c>
      <c r="AL278" s="25">
        <f t="shared" si="291"/>
        <v>0</v>
      </c>
      <c r="AN278" s="25">
        <v>21</v>
      </c>
      <c r="AO278" s="25">
        <f t="shared" si="292"/>
        <v>0</v>
      </c>
      <c r="AP278" s="25">
        <f t="shared" si="293"/>
        <v>0</v>
      </c>
      <c r="AQ278" s="27" t="s">
        <v>76</v>
      </c>
      <c r="AV278" s="25">
        <f t="shared" si="294"/>
        <v>0</v>
      </c>
      <c r="AW278" s="25">
        <f t="shared" si="295"/>
        <v>0</v>
      </c>
      <c r="AX278" s="25">
        <f t="shared" si="296"/>
        <v>0</v>
      </c>
      <c r="AY278" s="27" t="s">
        <v>841</v>
      </c>
      <c r="AZ278" s="27" t="s">
        <v>585</v>
      </c>
      <c r="BA278" s="11" t="s">
        <v>56</v>
      </c>
      <c r="BC278" s="25">
        <f t="shared" si="297"/>
        <v>0</v>
      </c>
      <c r="BD278" s="25">
        <f t="shared" si="298"/>
        <v>0</v>
      </c>
      <c r="BE278" s="25">
        <v>0</v>
      </c>
      <c r="BF278" s="25">
        <f>278</f>
        <v>278</v>
      </c>
      <c r="BH278" s="25">
        <f t="shared" si="299"/>
        <v>0</v>
      </c>
      <c r="BI278" s="25">
        <f t="shared" si="300"/>
        <v>0</v>
      </c>
      <c r="BJ278" s="25">
        <f t="shared" si="301"/>
        <v>0</v>
      </c>
      <c r="BK278" s="27" t="s">
        <v>57</v>
      </c>
      <c r="BL278" s="25">
        <v>722</v>
      </c>
      <c r="BW278" s="25">
        <v>21</v>
      </c>
      <c r="BX278" s="5" t="s">
        <v>853</v>
      </c>
    </row>
    <row r="279" spans="1:76" ht="25.5" x14ac:dyDescent="0.25">
      <c r="A279" s="2" t="s">
        <v>854</v>
      </c>
      <c r="B279" s="3" t="s">
        <v>855</v>
      </c>
      <c r="C279" s="93" t="s">
        <v>856</v>
      </c>
      <c r="D279" s="94"/>
      <c r="E279" s="3" t="s">
        <v>52</v>
      </c>
      <c r="F279" s="25">
        <v>1</v>
      </c>
      <c r="G279" s="25">
        <v>0</v>
      </c>
      <c r="H279" s="25">
        <f t="shared" si="278"/>
        <v>0</v>
      </c>
      <c r="I279" s="25">
        <f t="shared" si="279"/>
        <v>0</v>
      </c>
      <c r="J279" s="25">
        <f t="shared" si="280"/>
        <v>0</v>
      </c>
      <c r="K279" s="26" t="s">
        <v>53</v>
      </c>
      <c r="Z279" s="25">
        <f t="shared" si="281"/>
        <v>0</v>
      </c>
      <c r="AB279" s="25">
        <f t="shared" si="282"/>
        <v>0</v>
      </c>
      <c r="AC279" s="25">
        <f t="shared" si="283"/>
        <v>0</v>
      </c>
      <c r="AD279" s="25">
        <f t="shared" si="284"/>
        <v>0</v>
      </c>
      <c r="AE279" s="25">
        <f t="shared" si="285"/>
        <v>0</v>
      </c>
      <c r="AF279" s="25">
        <f t="shared" si="286"/>
        <v>0</v>
      </c>
      <c r="AG279" s="25">
        <f t="shared" si="287"/>
        <v>0</v>
      </c>
      <c r="AH279" s="25">
        <f t="shared" si="288"/>
        <v>0</v>
      </c>
      <c r="AI279" s="11" t="s">
        <v>46</v>
      </c>
      <c r="AJ279" s="25">
        <f t="shared" si="289"/>
        <v>0</v>
      </c>
      <c r="AK279" s="25">
        <f t="shared" si="290"/>
        <v>0</v>
      </c>
      <c r="AL279" s="25">
        <f t="shared" si="291"/>
        <v>0</v>
      </c>
      <c r="AN279" s="25">
        <v>21</v>
      </c>
      <c r="AO279" s="25">
        <f t="shared" si="292"/>
        <v>0</v>
      </c>
      <c r="AP279" s="25">
        <f t="shared" si="293"/>
        <v>0</v>
      </c>
      <c r="AQ279" s="27" t="s">
        <v>76</v>
      </c>
      <c r="AV279" s="25">
        <f t="shared" si="294"/>
        <v>0</v>
      </c>
      <c r="AW279" s="25">
        <f t="shared" si="295"/>
        <v>0</v>
      </c>
      <c r="AX279" s="25">
        <f t="shared" si="296"/>
        <v>0</v>
      </c>
      <c r="AY279" s="27" t="s">
        <v>841</v>
      </c>
      <c r="AZ279" s="27" t="s">
        <v>585</v>
      </c>
      <c r="BA279" s="11" t="s">
        <v>56</v>
      </c>
      <c r="BC279" s="25">
        <f t="shared" si="297"/>
        <v>0</v>
      </c>
      <c r="BD279" s="25">
        <f t="shared" si="298"/>
        <v>0</v>
      </c>
      <c r="BE279" s="25">
        <v>0</v>
      </c>
      <c r="BF279" s="25">
        <f>279</f>
        <v>279</v>
      </c>
      <c r="BH279" s="25">
        <f t="shared" si="299"/>
        <v>0</v>
      </c>
      <c r="BI279" s="25">
        <f t="shared" si="300"/>
        <v>0</v>
      </c>
      <c r="BJ279" s="25">
        <f t="shared" si="301"/>
        <v>0</v>
      </c>
      <c r="BK279" s="27" t="s">
        <v>57</v>
      </c>
      <c r="BL279" s="25">
        <v>722</v>
      </c>
      <c r="BW279" s="25">
        <v>21</v>
      </c>
      <c r="BX279" s="5" t="s">
        <v>856</v>
      </c>
    </row>
    <row r="280" spans="1:76" x14ac:dyDescent="0.25">
      <c r="A280" s="2" t="s">
        <v>857</v>
      </c>
      <c r="B280" s="3" t="s">
        <v>858</v>
      </c>
      <c r="C280" s="93" t="s">
        <v>859</v>
      </c>
      <c r="D280" s="94"/>
      <c r="E280" s="3" t="s">
        <v>52</v>
      </c>
      <c r="F280" s="25">
        <v>1</v>
      </c>
      <c r="G280" s="25">
        <v>0</v>
      </c>
      <c r="H280" s="25">
        <f t="shared" si="278"/>
        <v>0</v>
      </c>
      <c r="I280" s="25">
        <f t="shared" si="279"/>
        <v>0</v>
      </c>
      <c r="J280" s="25">
        <f t="shared" si="280"/>
        <v>0</v>
      </c>
      <c r="K280" s="26" t="s">
        <v>53</v>
      </c>
      <c r="Z280" s="25">
        <f t="shared" si="281"/>
        <v>0</v>
      </c>
      <c r="AB280" s="25">
        <f t="shared" si="282"/>
        <v>0</v>
      </c>
      <c r="AC280" s="25">
        <f t="shared" si="283"/>
        <v>0</v>
      </c>
      <c r="AD280" s="25">
        <f t="shared" si="284"/>
        <v>0</v>
      </c>
      <c r="AE280" s="25">
        <f t="shared" si="285"/>
        <v>0</v>
      </c>
      <c r="AF280" s="25">
        <f t="shared" si="286"/>
        <v>0</v>
      </c>
      <c r="AG280" s="25">
        <f t="shared" si="287"/>
        <v>0</v>
      </c>
      <c r="AH280" s="25">
        <f t="shared" si="288"/>
        <v>0</v>
      </c>
      <c r="AI280" s="11" t="s">
        <v>46</v>
      </c>
      <c r="AJ280" s="25">
        <f t="shared" si="289"/>
        <v>0</v>
      </c>
      <c r="AK280" s="25">
        <f t="shared" si="290"/>
        <v>0</v>
      </c>
      <c r="AL280" s="25">
        <f t="shared" si="291"/>
        <v>0</v>
      </c>
      <c r="AN280" s="25">
        <v>21</v>
      </c>
      <c r="AO280" s="25">
        <f t="shared" si="292"/>
        <v>0</v>
      </c>
      <c r="AP280" s="25">
        <f t="shared" si="293"/>
        <v>0</v>
      </c>
      <c r="AQ280" s="27" t="s">
        <v>76</v>
      </c>
      <c r="AV280" s="25">
        <f t="shared" si="294"/>
        <v>0</v>
      </c>
      <c r="AW280" s="25">
        <f t="shared" si="295"/>
        <v>0</v>
      </c>
      <c r="AX280" s="25">
        <f t="shared" si="296"/>
        <v>0</v>
      </c>
      <c r="AY280" s="27" t="s">
        <v>841</v>
      </c>
      <c r="AZ280" s="27" t="s">
        <v>585</v>
      </c>
      <c r="BA280" s="11" t="s">
        <v>56</v>
      </c>
      <c r="BC280" s="25">
        <f t="shared" si="297"/>
        <v>0</v>
      </c>
      <c r="BD280" s="25">
        <f t="shared" si="298"/>
        <v>0</v>
      </c>
      <c r="BE280" s="25">
        <v>0</v>
      </c>
      <c r="BF280" s="25">
        <f>280</f>
        <v>280</v>
      </c>
      <c r="BH280" s="25">
        <f t="shared" si="299"/>
        <v>0</v>
      </c>
      <c r="BI280" s="25">
        <f t="shared" si="300"/>
        <v>0</v>
      </c>
      <c r="BJ280" s="25">
        <f t="shared" si="301"/>
        <v>0</v>
      </c>
      <c r="BK280" s="27" t="s">
        <v>57</v>
      </c>
      <c r="BL280" s="25">
        <v>722</v>
      </c>
      <c r="BW280" s="25">
        <v>21</v>
      </c>
      <c r="BX280" s="5" t="s">
        <v>859</v>
      </c>
    </row>
    <row r="281" spans="1:76" x14ac:dyDescent="0.25">
      <c r="A281" s="2" t="s">
        <v>860</v>
      </c>
      <c r="B281" s="3" t="s">
        <v>861</v>
      </c>
      <c r="C281" s="93" t="s">
        <v>862</v>
      </c>
      <c r="D281" s="94"/>
      <c r="E281" s="3" t="s">
        <v>52</v>
      </c>
      <c r="F281" s="25">
        <v>2</v>
      </c>
      <c r="G281" s="25">
        <v>0</v>
      </c>
      <c r="H281" s="25">
        <f t="shared" si="278"/>
        <v>0</v>
      </c>
      <c r="I281" s="25">
        <f t="shared" si="279"/>
        <v>0</v>
      </c>
      <c r="J281" s="25">
        <f t="shared" si="280"/>
        <v>0</v>
      </c>
      <c r="K281" s="26" t="s">
        <v>53</v>
      </c>
      <c r="Z281" s="25">
        <f t="shared" si="281"/>
        <v>0</v>
      </c>
      <c r="AB281" s="25">
        <f t="shared" si="282"/>
        <v>0</v>
      </c>
      <c r="AC281" s="25">
        <f t="shared" si="283"/>
        <v>0</v>
      </c>
      <c r="AD281" s="25">
        <f t="shared" si="284"/>
        <v>0</v>
      </c>
      <c r="AE281" s="25">
        <f t="shared" si="285"/>
        <v>0</v>
      </c>
      <c r="AF281" s="25">
        <f t="shared" si="286"/>
        <v>0</v>
      </c>
      <c r="AG281" s="25">
        <f t="shared" si="287"/>
        <v>0</v>
      </c>
      <c r="AH281" s="25">
        <f t="shared" si="288"/>
        <v>0</v>
      </c>
      <c r="AI281" s="11" t="s">
        <v>46</v>
      </c>
      <c r="AJ281" s="25">
        <f t="shared" si="289"/>
        <v>0</v>
      </c>
      <c r="AK281" s="25">
        <f t="shared" si="290"/>
        <v>0</v>
      </c>
      <c r="AL281" s="25">
        <f t="shared" si="291"/>
        <v>0</v>
      </c>
      <c r="AN281" s="25">
        <v>21</v>
      </c>
      <c r="AO281" s="25">
        <f t="shared" si="292"/>
        <v>0</v>
      </c>
      <c r="AP281" s="25">
        <f t="shared" si="293"/>
        <v>0</v>
      </c>
      <c r="AQ281" s="27" t="s">
        <v>76</v>
      </c>
      <c r="AV281" s="25">
        <f t="shared" si="294"/>
        <v>0</v>
      </c>
      <c r="AW281" s="25">
        <f t="shared" si="295"/>
        <v>0</v>
      </c>
      <c r="AX281" s="25">
        <f t="shared" si="296"/>
        <v>0</v>
      </c>
      <c r="AY281" s="27" t="s">
        <v>841</v>
      </c>
      <c r="AZ281" s="27" t="s">
        <v>585</v>
      </c>
      <c r="BA281" s="11" t="s">
        <v>56</v>
      </c>
      <c r="BC281" s="25">
        <f t="shared" si="297"/>
        <v>0</v>
      </c>
      <c r="BD281" s="25">
        <f t="shared" si="298"/>
        <v>0</v>
      </c>
      <c r="BE281" s="25">
        <v>0</v>
      </c>
      <c r="BF281" s="25">
        <f>281</f>
        <v>281</v>
      </c>
      <c r="BH281" s="25">
        <f t="shared" si="299"/>
        <v>0</v>
      </c>
      <c r="BI281" s="25">
        <f t="shared" si="300"/>
        <v>0</v>
      </c>
      <c r="BJ281" s="25">
        <f t="shared" si="301"/>
        <v>0</v>
      </c>
      <c r="BK281" s="27" t="s">
        <v>57</v>
      </c>
      <c r="BL281" s="25">
        <v>722</v>
      </c>
      <c r="BW281" s="25">
        <v>21</v>
      </c>
      <c r="BX281" s="5" t="s">
        <v>862</v>
      </c>
    </row>
    <row r="282" spans="1:76" x14ac:dyDescent="0.25">
      <c r="A282" s="2" t="s">
        <v>863</v>
      </c>
      <c r="B282" s="3" t="s">
        <v>864</v>
      </c>
      <c r="C282" s="93" t="s">
        <v>865</v>
      </c>
      <c r="D282" s="94"/>
      <c r="E282" s="3" t="s">
        <v>52</v>
      </c>
      <c r="F282" s="25">
        <v>16</v>
      </c>
      <c r="G282" s="25">
        <v>0</v>
      </c>
      <c r="H282" s="25">
        <f t="shared" si="278"/>
        <v>0</v>
      </c>
      <c r="I282" s="25">
        <f t="shared" si="279"/>
        <v>0</v>
      </c>
      <c r="J282" s="25">
        <f t="shared" si="280"/>
        <v>0</v>
      </c>
      <c r="K282" s="26" t="s">
        <v>53</v>
      </c>
      <c r="Z282" s="25">
        <f t="shared" si="281"/>
        <v>0</v>
      </c>
      <c r="AB282" s="25">
        <f t="shared" si="282"/>
        <v>0</v>
      </c>
      <c r="AC282" s="25">
        <f t="shared" si="283"/>
        <v>0</v>
      </c>
      <c r="AD282" s="25">
        <f t="shared" si="284"/>
        <v>0</v>
      </c>
      <c r="AE282" s="25">
        <f t="shared" si="285"/>
        <v>0</v>
      </c>
      <c r="AF282" s="25">
        <f t="shared" si="286"/>
        <v>0</v>
      </c>
      <c r="AG282" s="25">
        <f t="shared" si="287"/>
        <v>0</v>
      </c>
      <c r="AH282" s="25">
        <f t="shared" si="288"/>
        <v>0</v>
      </c>
      <c r="AI282" s="11" t="s">
        <v>46</v>
      </c>
      <c r="AJ282" s="25">
        <f t="shared" si="289"/>
        <v>0</v>
      </c>
      <c r="AK282" s="25">
        <f t="shared" si="290"/>
        <v>0</v>
      </c>
      <c r="AL282" s="25">
        <f t="shared" si="291"/>
        <v>0</v>
      </c>
      <c r="AN282" s="25">
        <v>21</v>
      </c>
      <c r="AO282" s="25">
        <f t="shared" si="292"/>
        <v>0</v>
      </c>
      <c r="AP282" s="25">
        <f t="shared" si="293"/>
        <v>0</v>
      </c>
      <c r="AQ282" s="27" t="s">
        <v>76</v>
      </c>
      <c r="AV282" s="25">
        <f t="shared" si="294"/>
        <v>0</v>
      </c>
      <c r="AW282" s="25">
        <f t="shared" si="295"/>
        <v>0</v>
      </c>
      <c r="AX282" s="25">
        <f t="shared" si="296"/>
        <v>0</v>
      </c>
      <c r="AY282" s="27" t="s">
        <v>841</v>
      </c>
      <c r="AZ282" s="27" t="s">
        <v>585</v>
      </c>
      <c r="BA282" s="11" t="s">
        <v>56</v>
      </c>
      <c r="BC282" s="25">
        <f t="shared" si="297"/>
        <v>0</v>
      </c>
      <c r="BD282" s="25">
        <f t="shared" si="298"/>
        <v>0</v>
      </c>
      <c r="BE282" s="25">
        <v>0</v>
      </c>
      <c r="BF282" s="25">
        <f>282</f>
        <v>282</v>
      </c>
      <c r="BH282" s="25">
        <f t="shared" si="299"/>
        <v>0</v>
      </c>
      <c r="BI282" s="25">
        <f t="shared" si="300"/>
        <v>0</v>
      </c>
      <c r="BJ282" s="25">
        <f t="shared" si="301"/>
        <v>0</v>
      </c>
      <c r="BK282" s="27" t="s">
        <v>57</v>
      </c>
      <c r="BL282" s="25">
        <v>722</v>
      </c>
      <c r="BW282" s="25">
        <v>21</v>
      </c>
      <c r="BX282" s="5" t="s">
        <v>865</v>
      </c>
    </row>
    <row r="283" spans="1:76" ht="25.5" x14ac:dyDescent="0.25">
      <c r="A283" s="2" t="s">
        <v>866</v>
      </c>
      <c r="B283" s="3" t="s">
        <v>867</v>
      </c>
      <c r="C283" s="93" t="s">
        <v>868</v>
      </c>
      <c r="D283" s="94"/>
      <c r="E283" s="3" t="s">
        <v>52</v>
      </c>
      <c r="F283" s="25">
        <v>2</v>
      </c>
      <c r="G283" s="25">
        <v>0</v>
      </c>
      <c r="H283" s="25">
        <f t="shared" si="278"/>
        <v>0</v>
      </c>
      <c r="I283" s="25">
        <f t="shared" si="279"/>
        <v>0</v>
      </c>
      <c r="J283" s="25">
        <f t="shared" si="280"/>
        <v>0</v>
      </c>
      <c r="K283" s="26" t="s">
        <v>53</v>
      </c>
      <c r="Z283" s="25">
        <f t="shared" si="281"/>
        <v>0</v>
      </c>
      <c r="AB283" s="25">
        <f t="shared" si="282"/>
        <v>0</v>
      </c>
      <c r="AC283" s="25">
        <f t="shared" si="283"/>
        <v>0</v>
      </c>
      <c r="AD283" s="25">
        <f t="shared" si="284"/>
        <v>0</v>
      </c>
      <c r="AE283" s="25">
        <f t="shared" si="285"/>
        <v>0</v>
      </c>
      <c r="AF283" s="25">
        <f t="shared" si="286"/>
        <v>0</v>
      </c>
      <c r="AG283" s="25">
        <f t="shared" si="287"/>
        <v>0</v>
      </c>
      <c r="AH283" s="25">
        <f t="shared" si="288"/>
        <v>0</v>
      </c>
      <c r="AI283" s="11" t="s">
        <v>46</v>
      </c>
      <c r="AJ283" s="25">
        <f t="shared" si="289"/>
        <v>0</v>
      </c>
      <c r="AK283" s="25">
        <f t="shared" si="290"/>
        <v>0</v>
      </c>
      <c r="AL283" s="25">
        <f t="shared" si="291"/>
        <v>0</v>
      </c>
      <c r="AN283" s="25">
        <v>21</v>
      </c>
      <c r="AO283" s="25">
        <f t="shared" si="292"/>
        <v>0</v>
      </c>
      <c r="AP283" s="25">
        <f t="shared" si="293"/>
        <v>0</v>
      </c>
      <c r="AQ283" s="27" t="s">
        <v>76</v>
      </c>
      <c r="AV283" s="25">
        <f t="shared" si="294"/>
        <v>0</v>
      </c>
      <c r="AW283" s="25">
        <f t="shared" si="295"/>
        <v>0</v>
      </c>
      <c r="AX283" s="25">
        <f t="shared" si="296"/>
        <v>0</v>
      </c>
      <c r="AY283" s="27" t="s">
        <v>841</v>
      </c>
      <c r="AZ283" s="27" t="s">
        <v>585</v>
      </c>
      <c r="BA283" s="11" t="s">
        <v>56</v>
      </c>
      <c r="BC283" s="25">
        <f t="shared" si="297"/>
        <v>0</v>
      </c>
      <c r="BD283" s="25">
        <f t="shared" si="298"/>
        <v>0</v>
      </c>
      <c r="BE283" s="25">
        <v>0</v>
      </c>
      <c r="BF283" s="25">
        <f>283</f>
        <v>283</v>
      </c>
      <c r="BH283" s="25">
        <f t="shared" si="299"/>
        <v>0</v>
      </c>
      <c r="BI283" s="25">
        <f t="shared" si="300"/>
        <v>0</v>
      </c>
      <c r="BJ283" s="25">
        <f t="shared" si="301"/>
        <v>0</v>
      </c>
      <c r="BK283" s="27" t="s">
        <v>57</v>
      </c>
      <c r="BL283" s="25">
        <v>722</v>
      </c>
      <c r="BW283" s="25">
        <v>21</v>
      </c>
      <c r="BX283" s="5" t="s">
        <v>868</v>
      </c>
    </row>
    <row r="284" spans="1:76" x14ac:dyDescent="0.25">
      <c r="A284" s="2" t="s">
        <v>869</v>
      </c>
      <c r="B284" s="3" t="s">
        <v>870</v>
      </c>
      <c r="C284" s="93" t="s">
        <v>871</v>
      </c>
      <c r="D284" s="94"/>
      <c r="E284" s="3" t="s">
        <v>131</v>
      </c>
      <c r="F284" s="25">
        <v>184.9</v>
      </c>
      <c r="G284" s="25">
        <v>0</v>
      </c>
      <c r="H284" s="25">
        <f t="shared" si="278"/>
        <v>0</v>
      </c>
      <c r="I284" s="25">
        <f t="shared" si="279"/>
        <v>0</v>
      </c>
      <c r="J284" s="25">
        <f t="shared" si="280"/>
        <v>0</v>
      </c>
      <c r="K284" s="26" t="s">
        <v>53</v>
      </c>
      <c r="Z284" s="25">
        <f t="shared" si="281"/>
        <v>0</v>
      </c>
      <c r="AB284" s="25">
        <f t="shared" si="282"/>
        <v>0</v>
      </c>
      <c r="AC284" s="25">
        <f t="shared" si="283"/>
        <v>0</v>
      </c>
      <c r="AD284" s="25">
        <f t="shared" si="284"/>
        <v>0</v>
      </c>
      <c r="AE284" s="25">
        <f t="shared" si="285"/>
        <v>0</v>
      </c>
      <c r="AF284" s="25">
        <f t="shared" si="286"/>
        <v>0</v>
      </c>
      <c r="AG284" s="25">
        <f t="shared" si="287"/>
        <v>0</v>
      </c>
      <c r="AH284" s="25">
        <f t="shared" si="288"/>
        <v>0</v>
      </c>
      <c r="AI284" s="11" t="s">
        <v>46</v>
      </c>
      <c r="AJ284" s="25">
        <f t="shared" si="289"/>
        <v>0</v>
      </c>
      <c r="AK284" s="25">
        <f t="shared" si="290"/>
        <v>0</v>
      </c>
      <c r="AL284" s="25">
        <f t="shared" si="291"/>
        <v>0</v>
      </c>
      <c r="AN284" s="25">
        <v>21</v>
      </c>
      <c r="AO284" s="25">
        <f>G284*0.520000107</f>
        <v>0</v>
      </c>
      <c r="AP284" s="25">
        <f>G284*(1-0.520000107)</f>
        <v>0</v>
      </c>
      <c r="AQ284" s="27" t="s">
        <v>76</v>
      </c>
      <c r="AV284" s="25">
        <f t="shared" si="294"/>
        <v>0</v>
      </c>
      <c r="AW284" s="25">
        <f t="shared" si="295"/>
        <v>0</v>
      </c>
      <c r="AX284" s="25">
        <f t="shared" si="296"/>
        <v>0</v>
      </c>
      <c r="AY284" s="27" t="s">
        <v>841</v>
      </c>
      <c r="AZ284" s="27" t="s">
        <v>585</v>
      </c>
      <c r="BA284" s="11" t="s">
        <v>56</v>
      </c>
      <c r="BC284" s="25">
        <f t="shared" si="297"/>
        <v>0</v>
      </c>
      <c r="BD284" s="25">
        <f t="shared" si="298"/>
        <v>0</v>
      </c>
      <c r="BE284" s="25">
        <v>0</v>
      </c>
      <c r="BF284" s="25">
        <f>284</f>
        <v>284</v>
      </c>
      <c r="BH284" s="25">
        <f t="shared" si="299"/>
        <v>0</v>
      </c>
      <c r="BI284" s="25">
        <f t="shared" si="300"/>
        <v>0</v>
      </c>
      <c r="BJ284" s="25">
        <f t="shared" si="301"/>
        <v>0</v>
      </c>
      <c r="BK284" s="27" t="s">
        <v>57</v>
      </c>
      <c r="BL284" s="25">
        <v>722</v>
      </c>
      <c r="BW284" s="25">
        <v>21</v>
      </c>
      <c r="BX284" s="5" t="s">
        <v>871</v>
      </c>
    </row>
    <row r="285" spans="1:76" x14ac:dyDescent="0.25">
      <c r="A285" s="2" t="s">
        <v>872</v>
      </c>
      <c r="B285" s="3" t="s">
        <v>873</v>
      </c>
      <c r="C285" s="93" t="s">
        <v>874</v>
      </c>
      <c r="D285" s="94"/>
      <c r="E285" s="3" t="s">
        <v>131</v>
      </c>
      <c r="F285" s="25">
        <v>272.10000000000002</v>
      </c>
      <c r="G285" s="25">
        <v>0</v>
      </c>
      <c r="H285" s="25">
        <f t="shared" si="278"/>
        <v>0</v>
      </c>
      <c r="I285" s="25">
        <f t="shared" si="279"/>
        <v>0</v>
      </c>
      <c r="J285" s="25">
        <f t="shared" si="280"/>
        <v>0</v>
      </c>
      <c r="K285" s="26" t="s">
        <v>53</v>
      </c>
      <c r="Z285" s="25">
        <f t="shared" si="281"/>
        <v>0</v>
      </c>
      <c r="AB285" s="25">
        <f t="shared" si="282"/>
        <v>0</v>
      </c>
      <c r="AC285" s="25">
        <f t="shared" si="283"/>
        <v>0</v>
      </c>
      <c r="AD285" s="25">
        <f t="shared" si="284"/>
        <v>0</v>
      </c>
      <c r="AE285" s="25">
        <f t="shared" si="285"/>
        <v>0</v>
      </c>
      <c r="AF285" s="25">
        <f t="shared" si="286"/>
        <v>0</v>
      </c>
      <c r="AG285" s="25">
        <f t="shared" si="287"/>
        <v>0</v>
      </c>
      <c r="AH285" s="25">
        <f t="shared" si="288"/>
        <v>0</v>
      </c>
      <c r="AI285" s="11" t="s">
        <v>46</v>
      </c>
      <c r="AJ285" s="25">
        <f t="shared" si="289"/>
        <v>0</v>
      </c>
      <c r="AK285" s="25">
        <f t="shared" si="290"/>
        <v>0</v>
      </c>
      <c r="AL285" s="25">
        <f t="shared" si="291"/>
        <v>0</v>
      </c>
      <c r="AN285" s="25">
        <v>21</v>
      </c>
      <c r="AO285" s="25">
        <f>G285*0.519999975</f>
        <v>0</v>
      </c>
      <c r="AP285" s="25">
        <f>G285*(1-0.519999975)</f>
        <v>0</v>
      </c>
      <c r="AQ285" s="27" t="s">
        <v>76</v>
      </c>
      <c r="AV285" s="25">
        <f t="shared" si="294"/>
        <v>0</v>
      </c>
      <c r="AW285" s="25">
        <f t="shared" si="295"/>
        <v>0</v>
      </c>
      <c r="AX285" s="25">
        <f t="shared" si="296"/>
        <v>0</v>
      </c>
      <c r="AY285" s="27" t="s">
        <v>841</v>
      </c>
      <c r="AZ285" s="27" t="s">
        <v>585</v>
      </c>
      <c r="BA285" s="11" t="s">
        <v>56</v>
      </c>
      <c r="BC285" s="25">
        <f t="shared" si="297"/>
        <v>0</v>
      </c>
      <c r="BD285" s="25">
        <f t="shared" si="298"/>
        <v>0</v>
      </c>
      <c r="BE285" s="25">
        <v>0</v>
      </c>
      <c r="BF285" s="25">
        <f>285</f>
        <v>285</v>
      </c>
      <c r="BH285" s="25">
        <f t="shared" si="299"/>
        <v>0</v>
      </c>
      <c r="BI285" s="25">
        <f t="shared" si="300"/>
        <v>0</v>
      </c>
      <c r="BJ285" s="25">
        <f t="shared" si="301"/>
        <v>0</v>
      </c>
      <c r="BK285" s="27" t="s">
        <v>57</v>
      </c>
      <c r="BL285" s="25">
        <v>722</v>
      </c>
      <c r="BW285" s="25">
        <v>21</v>
      </c>
      <c r="BX285" s="5" t="s">
        <v>874</v>
      </c>
    </row>
    <row r="286" spans="1:76" x14ac:dyDescent="0.25">
      <c r="A286" s="2" t="s">
        <v>875</v>
      </c>
      <c r="B286" s="3" t="s">
        <v>876</v>
      </c>
      <c r="C286" s="93" t="s">
        <v>877</v>
      </c>
      <c r="D286" s="94"/>
      <c r="E286" s="3" t="s">
        <v>131</v>
      </c>
      <c r="F286" s="25">
        <v>119.9</v>
      </c>
      <c r="G286" s="25">
        <v>0</v>
      </c>
      <c r="H286" s="25">
        <f t="shared" si="278"/>
        <v>0</v>
      </c>
      <c r="I286" s="25">
        <f t="shared" si="279"/>
        <v>0</v>
      </c>
      <c r="J286" s="25">
        <f t="shared" si="280"/>
        <v>0</v>
      </c>
      <c r="K286" s="26" t="s">
        <v>53</v>
      </c>
      <c r="Z286" s="25">
        <f t="shared" si="281"/>
        <v>0</v>
      </c>
      <c r="AB286" s="25">
        <f t="shared" si="282"/>
        <v>0</v>
      </c>
      <c r="AC286" s="25">
        <f t="shared" si="283"/>
        <v>0</v>
      </c>
      <c r="AD286" s="25">
        <f t="shared" si="284"/>
        <v>0</v>
      </c>
      <c r="AE286" s="25">
        <f t="shared" si="285"/>
        <v>0</v>
      </c>
      <c r="AF286" s="25">
        <f t="shared" si="286"/>
        <v>0</v>
      </c>
      <c r="AG286" s="25">
        <f t="shared" si="287"/>
        <v>0</v>
      </c>
      <c r="AH286" s="25">
        <f t="shared" si="288"/>
        <v>0</v>
      </c>
      <c r="AI286" s="11" t="s">
        <v>46</v>
      </c>
      <c r="AJ286" s="25">
        <f t="shared" si="289"/>
        <v>0</v>
      </c>
      <c r="AK286" s="25">
        <f t="shared" si="290"/>
        <v>0</v>
      </c>
      <c r="AL286" s="25">
        <f t="shared" si="291"/>
        <v>0</v>
      </c>
      <c r="AN286" s="25">
        <v>21</v>
      </c>
      <c r="AO286" s="25">
        <f>G286*0.520000086</f>
        <v>0</v>
      </c>
      <c r="AP286" s="25">
        <f>G286*(1-0.520000086)</f>
        <v>0</v>
      </c>
      <c r="AQ286" s="27" t="s">
        <v>76</v>
      </c>
      <c r="AV286" s="25">
        <f t="shared" si="294"/>
        <v>0</v>
      </c>
      <c r="AW286" s="25">
        <f t="shared" si="295"/>
        <v>0</v>
      </c>
      <c r="AX286" s="25">
        <f t="shared" si="296"/>
        <v>0</v>
      </c>
      <c r="AY286" s="27" t="s">
        <v>841</v>
      </c>
      <c r="AZ286" s="27" t="s">
        <v>585</v>
      </c>
      <c r="BA286" s="11" t="s">
        <v>56</v>
      </c>
      <c r="BC286" s="25">
        <f t="shared" si="297"/>
        <v>0</v>
      </c>
      <c r="BD286" s="25">
        <f t="shared" si="298"/>
        <v>0</v>
      </c>
      <c r="BE286" s="25">
        <v>0</v>
      </c>
      <c r="BF286" s="25">
        <f>286</f>
        <v>286</v>
      </c>
      <c r="BH286" s="25">
        <f t="shared" si="299"/>
        <v>0</v>
      </c>
      <c r="BI286" s="25">
        <f t="shared" si="300"/>
        <v>0</v>
      </c>
      <c r="BJ286" s="25">
        <f t="shared" si="301"/>
        <v>0</v>
      </c>
      <c r="BK286" s="27" t="s">
        <v>57</v>
      </c>
      <c r="BL286" s="25">
        <v>722</v>
      </c>
      <c r="BW286" s="25">
        <v>21</v>
      </c>
      <c r="BX286" s="5" t="s">
        <v>877</v>
      </c>
    </row>
    <row r="287" spans="1:76" x14ac:dyDescent="0.25">
      <c r="A287" s="2" t="s">
        <v>878</v>
      </c>
      <c r="B287" s="3" t="s">
        <v>879</v>
      </c>
      <c r="C287" s="93" t="s">
        <v>880</v>
      </c>
      <c r="D287" s="94"/>
      <c r="E287" s="3" t="s">
        <v>131</v>
      </c>
      <c r="F287" s="25">
        <v>264.60000000000002</v>
      </c>
      <c r="G287" s="25">
        <v>0</v>
      </c>
      <c r="H287" s="25">
        <f t="shared" si="278"/>
        <v>0</v>
      </c>
      <c r="I287" s="25">
        <f t="shared" si="279"/>
        <v>0</v>
      </c>
      <c r="J287" s="25">
        <f t="shared" si="280"/>
        <v>0</v>
      </c>
      <c r="K287" s="26" t="s">
        <v>53</v>
      </c>
      <c r="Z287" s="25">
        <f t="shared" si="281"/>
        <v>0</v>
      </c>
      <c r="AB287" s="25">
        <f t="shared" si="282"/>
        <v>0</v>
      </c>
      <c r="AC287" s="25">
        <f t="shared" si="283"/>
        <v>0</v>
      </c>
      <c r="AD287" s="25">
        <f t="shared" si="284"/>
        <v>0</v>
      </c>
      <c r="AE287" s="25">
        <f t="shared" si="285"/>
        <v>0</v>
      </c>
      <c r="AF287" s="25">
        <f t="shared" si="286"/>
        <v>0</v>
      </c>
      <c r="AG287" s="25">
        <f t="shared" si="287"/>
        <v>0</v>
      </c>
      <c r="AH287" s="25">
        <f t="shared" si="288"/>
        <v>0</v>
      </c>
      <c r="AI287" s="11" t="s">
        <v>46</v>
      </c>
      <c r="AJ287" s="25">
        <f t="shared" si="289"/>
        <v>0</v>
      </c>
      <c r="AK287" s="25">
        <f t="shared" si="290"/>
        <v>0</v>
      </c>
      <c r="AL287" s="25">
        <f t="shared" si="291"/>
        <v>0</v>
      </c>
      <c r="AN287" s="25">
        <v>21</v>
      </c>
      <c r="AO287" s="25">
        <f>G287*0.520000037</f>
        <v>0</v>
      </c>
      <c r="AP287" s="25">
        <f>G287*(1-0.520000037)</f>
        <v>0</v>
      </c>
      <c r="AQ287" s="27" t="s">
        <v>76</v>
      </c>
      <c r="AV287" s="25">
        <f t="shared" si="294"/>
        <v>0</v>
      </c>
      <c r="AW287" s="25">
        <f t="shared" si="295"/>
        <v>0</v>
      </c>
      <c r="AX287" s="25">
        <f t="shared" si="296"/>
        <v>0</v>
      </c>
      <c r="AY287" s="27" t="s">
        <v>841</v>
      </c>
      <c r="AZ287" s="27" t="s">
        <v>585</v>
      </c>
      <c r="BA287" s="11" t="s">
        <v>56</v>
      </c>
      <c r="BC287" s="25">
        <f t="shared" si="297"/>
        <v>0</v>
      </c>
      <c r="BD287" s="25">
        <f t="shared" si="298"/>
        <v>0</v>
      </c>
      <c r="BE287" s="25">
        <v>0</v>
      </c>
      <c r="BF287" s="25">
        <f>287</f>
        <v>287</v>
      </c>
      <c r="BH287" s="25">
        <f t="shared" si="299"/>
        <v>0</v>
      </c>
      <c r="BI287" s="25">
        <f t="shared" si="300"/>
        <v>0</v>
      </c>
      <c r="BJ287" s="25">
        <f t="shared" si="301"/>
        <v>0</v>
      </c>
      <c r="BK287" s="27" t="s">
        <v>57</v>
      </c>
      <c r="BL287" s="25">
        <v>722</v>
      </c>
      <c r="BW287" s="25">
        <v>21</v>
      </c>
      <c r="BX287" s="5" t="s">
        <v>880</v>
      </c>
    </row>
    <row r="288" spans="1:76" x14ac:dyDescent="0.25">
      <c r="A288" s="2" t="s">
        <v>881</v>
      </c>
      <c r="B288" s="3" t="s">
        <v>882</v>
      </c>
      <c r="C288" s="93" t="s">
        <v>883</v>
      </c>
      <c r="D288" s="94"/>
      <c r="E288" s="3" t="s">
        <v>131</v>
      </c>
      <c r="F288" s="25">
        <v>65.099999999999994</v>
      </c>
      <c r="G288" s="25">
        <v>0</v>
      </c>
      <c r="H288" s="25">
        <f t="shared" si="278"/>
        <v>0</v>
      </c>
      <c r="I288" s="25">
        <f t="shared" si="279"/>
        <v>0</v>
      </c>
      <c r="J288" s="25">
        <f t="shared" si="280"/>
        <v>0</v>
      </c>
      <c r="K288" s="26" t="s">
        <v>53</v>
      </c>
      <c r="Z288" s="25">
        <f t="shared" si="281"/>
        <v>0</v>
      </c>
      <c r="AB288" s="25">
        <f t="shared" si="282"/>
        <v>0</v>
      </c>
      <c r="AC288" s="25">
        <f t="shared" si="283"/>
        <v>0</v>
      </c>
      <c r="AD288" s="25">
        <f t="shared" si="284"/>
        <v>0</v>
      </c>
      <c r="AE288" s="25">
        <f t="shared" si="285"/>
        <v>0</v>
      </c>
      <c r="AF288" s="25">
        <f t="shared" si="286"/>
        <v>0</v>
      </c>
      <c r="AG288" s="25">
        <f t="shared" si="287"/>
        <v>0</v>
      </c>
      <c r="AH288" s="25">
        <f t="shared" si="288"/>
        <v>0</v>
      </c>
      <c r="AI288" s="11" t="s">
        <v>46</v>
      </c>
      <c r="AJ288" s="25">
        <f t="shared" si="289"/>
        <v>0</v>
      </c>
      <c r="AK288" s="25">
        <f t="shared" si="290"/>
        <v>0</v>
      </c>
      <c r="AL288" s="25">
        <f t="shared" si="291"/>
        <v>0</v>
      </c>
      <c r="AN288" s="25">
        <v>21</v>
      </c>
      <c r="AO288" s="25">
        <f>G288*0.519999643</f>
        <v>0</v>
      </c>
      <c r="AP288" s="25">
        <f>G288*(1-0.519999643)</f>
        <v>0</v>
      </c>
      <c r="AQ288" s="27" t="s">
        <v>76</v>
      </c>
      <c r="AV288" s="25">
        <f t="shared" si="294"/>
        <v>0</v>
      </c>
      <c r="AW288" s="25">
        <f t="shared" si="295"/>
        <v>0</v>
      </c>
      <c r="AX288" s="25">
        <f t="shared" si="296"/>
        <v>0</v>
      </c>
      <c r="AY288" s="27" t="s">
        <v>841</v>
      </c>
      <c r="AZ288" s="27" t="s">
        <v>585</v>
      </c>
      <c r="BA288" s="11" t="s">
        <v>56</v>
      </c>
      <c r="BC288" s="25">
        <f t="shared" si="297"/>
        <v>0</v>
      </c>
      <c r="BD288" s="25">
        <f t="shared" si="298"/>
        <v>0</v>
      </c>
      <c r="BE288" s="25">
        <v>0</v>
      </c>
      <c r="BF288" s="25">
        <f>288</f>
        <v>288</v>
      </c>
      <c r="BH288" s="25">
        <f t="shared" si="299"/>
        <v>0</v>
      </c>
      <c r="BI288" s="25">
        <f t="shared" si="300"/>
        <v>0</v>
      </c>
      <c r="BJ288" s="25">
        <f t="shared" si="301"/>
        <v>0</v>
      </c>
      <c r="BK288" s="27" t="s">
        <v>57</v>
      </c>
      <c r="BL288" s="25">
        <v>722</v>
      </c>
      <c r="BW288" s="25">
        <v>21</v>
      </c>
      <c r="BX288" s="5" t="s">
        <v>883</v>
      </c>
    </row>
    <row r="289" spans="1:76" x14ac:dyDescent="0.25">
      <c r="A289" s="2" t="s">
        <v>884</v>
      </c>
      <c r="B289" s="3" t="s">
        <v>885</v>
      </c>
      <c r="C289" s="93" t="s">
        <v>886</v>
      </c>
      <c r="D289" s="94"/>
      <c r="E289" s="3" t="s">
        <v>131</v>
      </c>
      <c r="F289" s="25">
        <v>7.5</v>
      </c>
      <c r="G289" s="25">
        <v>0</v>
      </c>
      <c r="H289" s="25">
        <f t="shared" si="278"/>
        <v>0</v>
      </c>
      <c r="I289" s="25">
        <f t="shared" si="279"/>
        <v>0</v>
      </c>
      <c r="J289" s="25">
        <f t="shared" si="280"/>
        <v>0</v>
      </c>
      <c r="K289" s="26" t="s">
        <v>53</v>
      </c>
      <c r="Z289" s="25">
        <f t="shared" si="281"/>
        <v>0</v>
      </c>
      <c r="AB289" s="25">
        <f t="shared" si="282"/>
        <v>0</v>
      </c>
      <c r="AC289" s="25">
        <f t="shared" si="283"/>
        <v>0</v>
      </c>
      <c r="AD289" s="25">
        <f t="shared" si="284"/>
        <v>0</v>
      </c>
      <c r="AE289" s="25">
        <f t="shared" si="285"/>
        <v>0</v>
      </c>
      <c r="AF289" s="25">
        <f t="shared" si="286"/>
        <v>0</v>
      </c>
      <c r="AG289" s="25">
        <f t="shared" si="287"/>
        <v>0</v>
      </c>
      <c r="AH289" s="25">
        <f t="shared" si="288"/>
        <v>0</v>
      </c>
      <c r="AI289" s="11" t="s">
        <v>46</v>
      </c>
      <c r="AJ289" s="25">
        <f t="shared" si="289"/>
        <v>0</v>
      </c>
      <c r="AK289" s="25">
        <f t="shared" si="290"/>
        <v>0</v>
      </c>
      <c r="AL289" s="25">
        <f t="shared" si="291"/>
        <v>0</v>
      </c>
      <c r="AN289" s="25">
        <v>21</v>
      </c>
      <c r="AO289" s="25">
        <f t="shared" ref="AO289:AO320" si="302">G289*0.52</f>
        <v>0</v>
      </c>
      <c r="AP289" s="25">
        <f t="shared" ref="AP289:AP320" si="303">G289*(1-0.52)</f>
        <v>0</v>
      </c>
      <c r="AQ289" s="27" t="s">
        <v>76</v>
      </c>
      <c r="AV289" s="25">
        <f t="shared" si="294"/>
        <v>0</v>
      </c>
      <c r="AW289" s="25">
        <f t="shared" si="295"/>
        <v>0</v>
      </c>
      <c r="AX289" s="25">
        <f t="shared" si="296"/>
        <v>0</v>
      </c>
      <c r="AY289" s="27" t="s">
        <v>841</v>
      </c>
      <c r="AZ289" s="27" t="s">
        <v>585</v>
      </c>
      <c r="BA289" s="11" t="s">
        <v>56</v>
      </c>
      <c r="BC289" s="25">
        <f t="shared" si="297"/>
        <v>0</v>
      </c>
      <c r="BD289" s="25">
        <f t="shared" si="298"/>
        <v>0</v>
      </c>
      <c r="BE289" s="25">
        <v>0</v>
      </c>
      <c r="BF289" s="25">
        <f>289</f>
        <v>289</v>
      </c>
      <c r="BH289" s="25">
        <f t="shared" si="299"/>
        <v>0</v>
      </c>
      <c r="BI289" s="25">
        <f t="shared" si="300"/>
        <v>0</v>
      </c>
      <c r="BJ289" s="25">
        <f t="shared" si="301"/>
        <v>0</v>
      </c>
      <c r="BK289" s="27" t="s">
        <v>57</v>
      </c>
      <c r="BL289" s="25">
        <v>722</v>
      </c>
      <c r="BW289" s="25">
        <v>21</v>
      </c>
      <c r="BX289" s="5" t="s">
        <v>886</v>
      </c>
    </row>
    <row r="290" spans="1:76" ht="25.5" x14ac:dyDescent="0.25">
      <c r="A290" s="2" t="s">
        <v>887</v>
      </c>
      <c r="B290" s="3" t="s">
        <v>888</v>
      </c>
      <c r="C290" s="93" t="s">
        <v>889</v>
      </c>
      <c r="D290" s="94"/>
      <c r="E290" s="3" t="s">
        <v>52</v>
      </c>
      <c r="F290" s="25">
        <v>4</v>
      </c>
      <c r="G290" s="25">
        <v>0</v>
      </c>
      <c r="H290" s="25">
        <f t="shared" si="278"/>
        <v>0</v>
      </c>
      <c r="I290" s="25">
        <f t="shared" si="279"/>
        <v>0</v>
      </c>
      <c r="J290" s="25">
        <f t="shared" si="280"/>
        <v>0</v>
      </c>
      <c r="K290" s="26" t="s">
        <v>53</v>
      </c>
      <c r="Z290" s="25">
        <f t="shared" si="281"/>
        <v>0</v>
      </c>
      <c r="AB290" s="25">
        <f t="shared" si="282"/>
        <v>0</v>
      </c>
      <c r="AC290" s="25">
        <f t="shared" si="283"/>
        <v>0</v>
      </c>
      <c r="AD290" s="25">
        <f t="shared" si="284"/>
        <v>0</v>
      </c>
      <c r="AE290" s="25">
        <f t="shared" si="285"/>
        <v>0</v>
      </c>
      <c r="AF290" s="25">
        <f t="shared" si="286"/>
        <v>0</v>
      </c>
      <c r="AG290" s="25">
        <f t="shared" si="287"/>
        <v>0</v>
      </c>
      <c r="AH290" s="25">
        <f t="shared" si="288"/>
        <v>0</v>
      </c>
      <c r="AI290" s="11" t="s">
        <v>46</v>
      </c>
      <c r="AJ290" s="25">
        <f t="shared" si="289"/>
        <v>0</v>
      </c>
      <c r="AK290" s="25">
        <f t="shared" si="290"/>
        <v>0</v>
      </c>
      <c r="AL290" s="25">
        <f t="shared" si="291"/>
        <v>0</v>
      </c>
      <c r="AN290" s="25">
        <v>21</v>
      </c>
      <c r="AO290" s="25">
        <f t="shared" si="302"/>
        <v>0</v>
      </c>
      <c r="AP290" s="25">
        <f t="shared" si="303"/>
        <v>0</v>
      </c>
      <c r="AQ290" s="27" t="s">
        <v>76</v>
      </c>
      <c r="AV290" s="25">
        <f t="shared" si="294"/>
        <v>0</v>
      </c>
      <c r="AW290" s="25">
        <f t="shared" si="295"/>
        <v>0</v>
      </c>
      <c r="AX290" s="25">
        <f t="shared" si="296"/>
        <v>0</v>
      </c>
      <c r="AY290" s="27" t="s">
        <v>841</v>
      </c>
      <c r="AZ290" s="27" t="s">
        <v>585</v>
      </c>
      <c r="BA290" s="11" t="s">
        <v>56</v>
      </c>
      <c r="BC290" s="25">
        <f t="shared" si="297"/>
        <v>0</v>
      </c>
      <c r="BD290" s="25">
        <f t="shared" si="298"/>
        <v>0</v>
      </c>
      <c r="BE290" s="25">
        <v>0</v>
      </c>
      <c r="BF290" s="25">
        <f>290</f>
        <v>290</v>
      </c>
      <c r="BH290" s="25">
        <f t="shared" si="299"/>
        <v>0</v>
      </c>
      <c r="BI290" s="25">
        <f t="shared" si="300"/>
        <v>0</v>
      </c>
      <c r="BJ290" s="25">
        <f t="shared" si="301"/>
        <v>0</v>
      </c>
      <c r="BK290" s="27" t="s">
        <v>57</v>
      </c>
      <c r="BL290" s="25">
        <v>722</v>
      </c>
      <c r="BW290" s="25">
        <v>21</v>
      </c>
      <c r="BX290" s="5" t="s">
        <v>889</v>
      </c>
    </row>
    <row r="291" spans="1:76" ht="25.5" x14ac:dyDescent="0.25">
      <c r="A291" s="2" t="s">
        <v>890</v>
      </c>
      <c r="B291" s="3" t="s">
        <v>891</v>
      </c>
      <c r="C291" s="93" t="s">
        <v>892</v>
      </c>
      <c r="D291" s="94"/>
      <c r="E291" s="3" t="s">
        <v>52</v>
      </c>
      <c r="F291" s="25">
        <v>1</v>
      </c>
      <c r="G291" s="25">
        <v>0</v>
      </c>
      <c r="H291" s="25">
        <f t="shared" si="278"/>
        <v>0</v>
      </c>
      <c r="I291" s="25">
        <f t="shared" si="279"/>
        <v>0</v>
      </c>
      <c r="J291" s="25">
        <f t="shared" si="280"/>
        <v>0</v>
      </c>
      <c r="K291" s="26" t="s">
        <v>53</v>
      </c>
      <c r="Z291" s="25">
        <f t="shared" si="281"/>
        <v>0</v>
      </c>
      <c r="AB291" s="25">
        <f t="shared" si="282"/>
        <v>0</v>
      </c>
      <c r="AC291" s="25">
        <f t="shared" si="283"/>
        <v>0</v>
      </c>
      <c r="AD291" s="25">
        <f t="shared" si="284"/>
        <v>0</v>
      </c>
      <c r="AE291" s="25">
        <f t="shared" si="285"/>
        <v>0</v>
      </c>
      <c r="AF291" s="25">
        <f t="shared" si="286"/>
        <v>0</v>
      </c>
      <c r="AG291" s="25">
        <f t="shared" si="287"/>
        <v>0</v>
      </c>
      <c r="AH291" s="25">
        <f t="shared" si="288"/>
        <v>0</v>
      </c>
      <c r="AI291" s="11" t="s">
        <v>46</v>
      </c>
      <c r="AJ291" s="25">
        <f t="shared" si="289"/>
        <v>0</v>
      </c>
      <c r="AK291" s="25">
        <f t="shared" si="290"/>
        <v>0</v>
      </c>
      <c r="AL291" s="25">
        <f t="shared" si="291"/>
        <v>0</v>
      </c>
      <c r="AN291" s="25">
        <v>21</v>
      </c>
      <c r="AO291" s="25">
        <f t="shared" si="302"/>
        <v>0</v>
      </c>
      <c r="AP291" s="25">
        <f t="shared" si="303"/>
        <v>0</v>
      </c>
      <c r="AQ291" s="27" t="s">
        <v>76</v>
      </c>
      <c r="AV291" s="25">
        <f t="shared" si="294"/>
        <v>0</v>
      </c>
      <c r="AW291" s="25">
        <f t="shared" si="295"/>
        <v>0</v>
      </c>
      <c r="AX291" s="25">
        <f t="shared" si="296"/>
        <v>0</v>
      </c>
      <c r="AY291" s="27" t="s">
        <v>841</v>
      </c>
      <c r="AZ291" s="27" t="s">
        <v>585</v>
      </c>
      <c r="BA291" s="11" t="s">
        <v>56</v>
      </c>
      <c r="BC291" s="25">
        <f t="shared" si="297"/>
        <v>0</v>
      </c>
      <c r="BD291" s="25">
        <f t="shared" si="298"/>
        <v>0</v>
      </c>
      <c r="BE291" s="25">
        <v>0</v>
      </c>
      <c r="BF291" s="25">
        <f>291</f>
        <v>291</v>
      </c>
      <c r="BH291" s="25">
        <f t="shared" si="299"/>
        <v>0</v>
      </c>
      <c r="BI291" s="25">
        <f t="shared" si="300"/>
        <v>0</v>
      </c>
      <c r="BJ291" s="25">
        <f t="shared" si="301"/>
        <v>0</v>
      </c>
      <c r="BK291" s="27" t="s">
        <v>57</v>
      </c>
      <c r="BL291" s="25">
        <v>722</v>
      </c>
      <c r="BW291" s="25">
        <v>21</v>
      </c>
      <c r="BX291" s="5" t="s">
        <v>892</v>
      </c>
    </row>
    <row r="292" spans="1:76" ht="25.5" x14ac:dyDescent="0.25">
      <c r="A292" s="2" t="s">
        <v>893</v>
      </c>
      <c r="B292" s="3" t="s">
        <v>894</v>
      </c>
      <c r="C292" s="93" t="s">
        <v>895</v>
      </c>
      <c r="D292" s="94"/>
      <c r="E292" s="3" t="s">
        <v>52</v>
      </c>
      <c r="F292" s="25">
        <v>17</v>
      </c>
      <c r="G292" s="25">
        <v>0</v>
      </c>
      <c r="H292" s="25">
        <f t="shared" si="278"/>
        <v>0</v>
      </c>
      <c r="I292" s="25">
        <f t="shared" si="279"/>
        <v>0</v>
      </c>
      <c r="J292" s="25">
        <f t="shared" si="280"/>
        <v>0</v>
      </c>
      <c r="K292" s="26" t="s">
        <v>53</v>
      </c>
      <c r="Z292" s="25">
        <f t="shared" si="281"/>
        <v>0</v>
      </c>
      <c r="AB292" s="25">
        <f t="shared" si="282"/>
        <v>0</v>
      </c>
      <c r="AC292" s="25">
        <f t="shared" si="283"/>
        <v>0</v>
      </c>
      <c r="AD292" s="25">
        <f t="shared" si="284"/>
        <v>0</v>
      </c>
      <c r="AE292" s="25">
        <f t="shared" si="285"/>
        <v>0</v>
      </c>
      <c r="AF292" s="25">
        <f t="shared" si="286"/>
        <v>0</v>
      </c>
      <c r="AG292" s="25">
        <f t="shared" si="287"/>
        <v>0</v>
      </c>
      <c r="AH292" s="25">
        <f t="shared" si="288"/>
        <v>0</v>
      </c>
      <c r="AI292" s="11" t="s">
        <v>46</v>
      </c>
      <c r="AJ292" s="25">
        <f t="shared" si="289"/>
        <v>0</v>
      </c>
      <c r="AK292" s="25">
        <f t="shared" si="290"/>
        <v>0</v>
      </c>
      <c r="AL292" s="25">
        <f t="shared" si="291"/>
        <v>0</v>
      </c>
      <c r="AN292" s="25">
        <v>21</v>
      </c>
      <c r="AO292" s="25">
        <f t="shared" si="302"/>
        <v>0</v>
      </c>
      <c r="AP292" s="25">
        <f t="shared" si="303"/>
        <v>0</v>
      </c>
      <c r="AQ292" s="27" t="s">
        <v>76</v>
      </c>
      <c r="AV292" s="25">
        <f t="shared" si="294"/>
        <v>0</v>
      </c>
      <c r="AW292" s="25">
        <f t="shared" si="295"/>
        <v>0</v>
      </c>
      <c r="AX292" s="25">
        <f t="shared" si="296"/>
        <v>0</v>
      </c>
      <c r="AY292" s="27" t="s">
        <v>841</v>
      </c>
      <c r="AZ292" s="27" t="s">
        <v>585</v>
      </c>
      <c r="BA292" s="11" t="s">
        <v>56</v>
      </c>
      <c r="BC292" s="25">
        <f t="shared" si="297"/>
        <v>0</v>
      </c>
      <c r="BD292" s="25">
        <f t="shared" si="298"/>
        <v>0</v>
      </c>
      <c r="BE292" s="25">
        <v>0</v>
      </c>
      <c r="BF292" s="25">
        <f>292</f>
        <v>292</v>
      </c>
      <c r="BH292" s="25">
        <f t="shared" si="299"/>
        <v>0</v>
      </c>
      <c r="BI292" s="25">
        <f t="shared" si="300"/>
        <v>0</v>
      </c>
      <c r="BJ292" s="25">
        <f t="shared" si="301"/>
        <v>0</v>
      </c>
      <c r="BK292" s="27" t="s">
        <v>57</v>
      </c>
      <c r="BL292" s="25">
        <v>722</v>
      </c>
      <c r="BW292" s="25">
        <v>21</v>
      </c>
      <c r="BX292" s="5" t="s">
        <v>895</v>
      </c>
    </row>
    <row r="293" spans="1:76" ht="25.5" x14ac:dyDescent="0.25">
      <c r="A293" s="2" t="s">
        <v>896</v>
      </c>
      <c r="B293" s="3" t="s">
        <v>897</v>
      </c>
      <c r="C293" s="93" t="s">
        <v>898</v>
      </c>
      <c r="D293" s="94"/>
      <c r="E293" s="3" t="s">
        <v>52</v>
      </c>
      <c r="F293" s="25">
        <v>1</v>
      </c>
      <c r="G293" s="25">
        <v>0</v>
      </c>
      <c r="H293" s="25">
        <f t="shared" si="278"/>
        <v>0</v>
      </c>
      <c r="I293" s="25">
        <f t="shared" si="279"/>
        <v>0</v>
      </c>
      <c r="J293" s="25">
        <f t="shared" si="280"/>
        <v>0</v>
      </c>
      <c r="K293" s="26" t="s">
        <v>53</v>
      </c>
      <c r="Z293" s="25">
        <f t="shared" si="281"/>
        <v>0</v>
      </c>
      <c r="AB293" s="25">
        <f t="shared" si="282"/>
        <v>0</v>
      </c>
      <c r="AC293" s="25">
        <f t="shared" si="283"/>
        <v>0</v>
      </c>
      <c r="AD293" s="25">
        <f t="shared" si="284"/>
        <v>0</v>
      </c>
      <c r="AE293" s="25">
        <f t="shared" si="285"/>
        <v>0</v>
      </c>
      <c r="AF293" s="25">
        <f t="shared" si="286"/>
        <v>0</v>
      </c>
      <c r="AG293" s="25">
        <f t="shared" si="287"/>
        <v>0</v>
      </c>
      <c r="AH293" s="25">
        <f t="shared" si="288"/>
        <v>0</v>
      </c>
      <c r="AI293" s="11" t="s">
        <v>46</v>
      </c>
      <c r="AJ293" s="25">
        <f t="shared" si="289"/>
        <v>0</v>
      </c>
      <c r="AK293" s="25">
        <f t="shared" si="290"/>
        <v>0</v>
      </c>
      <c r="AL293" s="25">
        <f t="shared" si="291"/>
        <v>0</v>
      </c>
      <c r="AN293" s="25">
        <v>21</v>
      </c>
      <c r="AO293" s="25">
        <f t="shared" si="302"/>
        <v>0</v>
      </c>
      <c r="AP293" s="25">
        <f t="shared" si="303"/>
        <v>0</v>
      </c>
      <c r="AQ293" s="27" t="s">
        <v>76</v>
      </c>
      <c r="AV293" s="25">
        <f t="shared" si="294"/>
        <v>0</v>
      </c>
      <c r="AW293" s="25">
        <f t="shared" si="295"/>
        <v>0</v>
      </c>
      <c r="AX293" s="25">
        <f t="shared" si="296"/>
        <v>0</v>
      </c>
      <c r="AY293" s="27" t="s">
        <v>841</v>
      </c>
      <c r="AZ293" s="27" t="s">
        <v>585</v>
      </c>
      <c r="BA293" s="11" t="s">
        <v>56</v>
      </c>
      <c r="BC293" s="25">
        <f t="shared" si="297"/>
        <v>0</v>
      </c>
      <c r="BD293" s="25">
        <f t="shared" si="298"/>
        <v>0</v>
      </c>
      <c r="BE293" s="25">
        <v>0</v>
      </c>
      <c r="BF293" s="25">
        <f>293</f>
        <v>293</v>
      </c>
      <c r="BH293" s="25">
        <f t="shared" si="299"/>
        <v>0</v>
      </c>
      <c r="BI293" s="25">
        <f t="shared" si="300"/>
        <v>0</v>
      </c>
      <c r="BJ293" s="25">
        <f t="shared" si="301"/>
        <v>0</v>
      </c>
      <c r="BK293" s="27" t="s">
        <v>57</v>
      </c>
      <c r="BL293" s="25">
        <v>722</v>
      </c>
      <c r="BW293" s="25">
        <v>21</v>
      </c>
      <c r="BX293" s="5" t="s">
        <v>898</v>
      </c>
    </row>
    <row r="294" spans="1:76" x14ac:dyDescent="0.25">
      <c r="A294" s="2" t="s">
        <v>899</v>
      </c>
      <c r="B294" s="3" t="s">
        <v>900</v>
      </c>
      <c r="C294" s="93" t="s">
        <v>901</v>
      </c>
      <c r="D294" s="94"/>
      <c r="E294" s="3" t="s">
        <v>52</v>
      </c>
      <c r="F294" s="25">
        <v>8</v>
      </c>
      <c r="G294" s="25">
        <v>0</v>
      </c>
      <c r="H294" s="25">
        <f t="shared" si="278"/>
        <v>0</v>
      </c>
      <c r="I294" s="25">
        <f t="shared" si="279"/>
        <v>0</v>
      </c>
      <c r="J294" s="25">
        <f t="shared" si="280"/>
        <v>0</v>
      </c>
      <c r="K294" s="26" t="s">
        <v>53</v>
      </c>
      <c r="Z294" s="25">
        <f t="shared" si="281"/>
        <v>0</v>
      </c>
      <c r="AB294" s="25">
        <f t="shared" si="282"/>
        <v>0</v>
      </c>
      <c r="AC294" s="25">
        <f t="shared" si="283"/>
        <v>0</v>
      </c>
      <c r="AD294" s="25">
        <f t="shared" si="284"/>
        <v>0</v>
      </c>
      <c r="AE294" s="25">
        <f t="shared" si="285"/>
        <v>0</v>
      </c>
      <c r="AF294" s="25">
        <f t="shared" si="286"/>
        <v>0</v>
      </c>
      <c r="AG294" s="25">
        <f t="shared" si="287"/>
        <v>0</v>
      </c>
      <c r="AH294" s="25">
        <f t="shared" si="288"/>
        <v>0</v>
      </c>
      <c r="AI294" s="11" t="s">
        <v>46</v>
      </c>
      <c r="AJ294" s="25">
        <f t="shared" si="289"/>
        <v>0</v>
      </c>
      <c r="AK294" s="25">
        <f t="shared" si="290"/>
        <v>0</v>
      </c>
      <c r="AL294" s="25">
        <f t="shared" si="291"/>
        <v>0</v>
      </c>
      <c r="AN294" s="25">
        <v>21</v>
      </c>
      <c r="AO294" s="25">
        <f t="shared" si="302"/>
        <v>0</v>
      </c>
      <c r="AP294" s="25">
        <f t="shared" si="303"/>
        <v>0</v>
      </c>
      <c r="AQ294" s="27" t="s">
        <v>76</v>
      </c>
      <c r="AV294" s="25">
        <f t="shared" si="294"/>
        <v>0</v>
      </c>
      <c r="AW294" s="25">
        <f t="shared" si="295"/>
        <v>0</v>
      </c>
      <c r="AX294" s="25">
        <f t="shared" si="296"/>
        <v>0</v>
      </c>
      <c r="AY294" s="27" t="s">
        <v>841</v>
      </c>
      <c r="AZ294" s="27" t="s">
        <v>585</v>
      </c>
      <c r="BA294" s="11" t="s">
        <v>56</v>
      </c>
      <c r="BC294" s="25">
        <f t="shared" si="297"/>
        <v>0</v>
      </c>
      <c r="BD294" s="25">
        <f t="shared" si="298"/>
        <v>0</v>
      </c>
      <c r="BE294" s="25">
        <v>0</v>
      </c>
      <c r="BF294" s="25">
        <f>294</f>
        <v>294</v>
      </c>
      <c r="BH294" s="25">
        <f t="shared" si="299"/>
        <v>0</v>
      </c>
      <c r="BI294" s="25">
        <f t="shared" si="300"/>
        <v>0</v>
      </c>
      <c r="BJ294" s="25">
        <f t="shared" si="301"/>
        <v>0</v>
      </c>
      <c r="BK294" s="27" t="s">
        <v>57</v>
      </c>
      <c r="BL294" s="25">
        <v>722</v>
      </c>
      <c r="BW294" s="25">
        <v>21</v>
      </c>
      <c r="BX294" s="5" t="s">
        <v>901</v>
      </c>
    </row>
    <row r="295" spans="1:76" ht="25.5" x14ac:dyDescent="0.25">
      <c r="A295" s="2" t="s">
        <v>902</v>
      </c>
      <c r="B295" s="3" t="s">
        <v>903</v>
      </c>
      <c r="C295" s="93" t="s">
        <v>904</v>
      </c>
      <c r="D295" s="94"/>
      <c r="E295" s="3" t="s">
        <v>52</v>
      </c>
      <c r="F295" s="25">
        <v>4</v>
      </c>
      <c r="G295" s="25">
        <v>0</v>
      </c>
      <c r="H295" s="25">
        <f t="shared" si="278"/>
        <v>0</v>
      </c>
      <c r="I295" s="25">
        <f t="shared" si="279"/>
        <v>0</v>
      </c>
      <c r="J295" s="25">
        <f t="shared" si="280"/>
        <v>0</v>
      </c>
      <c r="K295" s="26" t="s">
        <v>53</v>
      </c>
      <c r="Z295" s="25">
        <f t="shared" si="281"/>
        <v>0</v>
      </c>
      <c r="AB295" s="25">
        <f t="shared" si="282"/>
        <v>0</v>
      </c>
      <c r="AC295" s="25">
        <f t="shared" si="283"/>
        <v>0</v>
      </c>
      <c r="AD295" s="25">
        <f t="shared" si="284"/>
        <v>0</v>
      </c>
      <c r="AE295" s="25">
        <f t="shared" si="285"/>
        <v>0</v>
      </c>
      <c r="AF295" s="25">
        <f t="shared" si="286"/>
        <v>0</v>
      </c>
      <c r="AG295" s="25">
        <f t="shared" si="287"/>
        <v>0</v>
      </c>
      <c r="AH295" s="25">
        <f t="shared" si="288"/>
        <v>0</v>
      </c>
      <c r="AI295" s="11" t="s">
        <v>46</v>
      </c>
      <c r="AJ295" s="25">
        <f t="shared" si="289"/>
        <v>0</v>
      </c>
      <c r="AK295" s="25">
        <f t="shared" si="290"/>
        <v>0</v>
      </c>
      <c r="AL295" s="25">
        <f t="shared" si="291"/>
        <v>0</v>
      </c>
      <c r="AN295" s="25">
        <v>21</v>
      </c>
      <c r="AO295" s="25">
        <f t="shared" si="302"/>
        <v>0</v>
      </c>
      <c r="AP295" s="25">
        <f t="shared" si="303"/>
        <v>0</v>
      </c>
      <c r="AQ295" s="27" t="s">
        <v>76</v>
      </c>
      <c r="AV295" s="25">
        <f t="shared" si="294"/>
        <v>0</v>
      </c>
      <c r="AW295" s="25">
        <f t="shared" si="295"/>
        <v>0</v>
      </c>
      <c r="AX295" s="25">
        <f t="shared" si="296"/>
        <v>0</v>
      </c>
      <c r="AY295" s="27" t="s">
        <v>841</v>
      </c>
      <c r="AZ295" s="27" t="s">
        <v>585</v>
      </c>
      <c r="BA295" s="11" t="s">
        <v>56</v>
      </c>
      <c r="BC295" s="25">
        <f t="shared" si="297"/>
        <v>0</v>
      </c>
      <c r="BD295" s="25">
        <f t="shared" si="298"/>
        <v>0</v>
      </c>
      <c r="BE295" s="25">
        <v>0</v>
      </c>
      <c r="BF295" s="25">
        <f>295</f>
        <v>295</v>
      </c>
      <c r="BH295" s="25">
        <f t="shared" si="299"/>
        <v>0</v>
      </c>
      <c r="BI295" s="25">
        <f t="shared" si="300"/>
        <v>0</v>
      </c>
      <c r="BJ295" s="25">
        <f t="shared" si="301"/>
        <v>0</v>
      </c>
      <c r="BK295" s="27" t="s">
        <v>57</v>
      </c>
      <c r="BL295" s="25">
        <v>722</v>
      </c>
      <c r="BW295" s="25">
        <v>21</v>
      </c>
      <c r="BX295" s="5" t="s">
        <v>904</v>
      </c>
    </row>
    <row r="296" spans="1:76" x14ac:dyDescent="0.25">
      <c r="A296" s="2" t="s">
        <v>905</v>
      </c>
      <c r="B296" s="3" t="s">
        <v>906</v>
      </c>
      <c r="C296" s="93" t="s">
        <v>907</v>
      </c>
      <c r="D296" s="94"/>
      <c r="E296" s="3" t="s">
        <v>52</v>
      </c>
      <c r="F296" s="25">
        <v>1</v>
      </c>
      <c r="G296" s="25">
        <v>0</v>
      </c>
      <c r="H296" s="25">
        <f t="shared" si="278"/>
        <v>0</v>
      </c>
      <c r="I296" s="25">
        <f t="shared" si="279"/>
        <v>0</v>
      </c>
      <c r="J296" s="25">
        <f t="shared" si="280"/>
        <v>0</v>
      </c>
      <c r="K296" s="26" t="s">
        <v>53</v>
      </c>
      <c r="Z296" s="25">
        <f t="shared" si="281"/>
        <v>0</v>
      </c>
      <c r="AB296" s="25">
        <f t="shared" si="282"/>
        <v>0</v>
      </c>
      <c r="AC296" s="25">
        <f t="shared" si="283"/>
        <v>0</v>
      </c>
      <c r="AD296" s="25">
        <f t="shared" si="284"/>
        <v>0</v>
      </c>
      <c r="AE296" s="25">
        <f t="shared" si="285"/>
        <v>0</v>
      </c>
      <c r="AF296" s="25">
        <f t="shared" si="286"/>
        <v>0</v>
      </c>
      <c r="AG296" s="25">
        <f t="shared" si="287"/>
        <v>0</v>
      </c>
      <c r="AH296" s="25">
        <f t="shared" si="288"/>
        <v>0</v>
      </c>
      <c r="AI296" s="11" t="s">
        <v>46</v>
      </c>
      <c r="AJ296" s="25">
        <f t="shared" si="289"/>
        <v>0</v>
      </c>
      <c r="AK296" s="25">
        <f t="shared" si="290"/>
        <v>0</v>
      </c>
      <c r="AL296" s="25">
        <f t="shared" si="291"/>
        <v>0</v>
      </c>
      <c r="AN296" s="25">
        <v>21</v>
      </c>
      <c r="AO296" s="25">
        <f t="shared" si="302"/>
        <v>0</v>
      </c>
      <c r="AP296" s="25">
        <f t="shared" si="303"/>
        <v>0</v>
      </c>
      <c r="AQ296" s="27" t="s">
        <v>76</v>
      </c>
      <c r="AV296" s="25">
        <f t="shared" si="294"/>
        <v>0</v>
      </c>
      <c r="AW296" s="25">
        <f t="shared" si="295"/>
        <v>0</v>
      </c>
      <c r="AX296" s="25">
        <f t="shared" si="296"/>
        <v>0</v>
      </c>
      <c r="AY296" s="27" t="s">
        <v>841</v>
      </c>
      <c r="AZ296" s="27" t="s">
        <v>585</v>
      </c>
      <c r="BA296" s="11" t="s">
        <v>56</v>
      </c>
      <c r="BC296" s="25">
        <f t="shared" si="297"/>
        <v>0</v>
      </c>
      <c r="BD296" s="25">
        <f t="shared" si="298"/>
        <v>0</v>
      </c>
      <c r="BE296" s="25">
        <v>0</v>
      </c>
      <c r="BF296" s="25">
        <f>296</f>
        <v>296</v>
      </c>
      <c r="BH296" s="25">
        <f t="shared" si="299"/>
        <v>0</v>
      </c>
      <c r="BI296" s="25">
        <f t="shared" si="300"/>
        <v>0</v>
      </c>
      <c r="BJ296" s="25">
        <f t="shared" si="301"/>
        <v>0</v>
      </c>
      <c r="BK296" s="27" t="s">
        <v>57</v>
      </c>
      <c r="BL296" s="25">
        <v>722</v>
      </c>
      <c r="BW296" s="25">
        <v>21</v>
      </c>
      <c r="BX296" s="5" t="s">
        <v>907</v>
      </c>
    </row>
    <row r="297" spans="1:76" ht="25.5" x14ac:dyDescent="0.25">
      <c r="A297" s="2" t="s">
        <v>908</v>
      </c>
      <c r="B297" s="3" t="s">
        <v>909</v>
      </c>
      <c r="C297" s="93" t="s">
        <v>910</v>
      </c>
      <c r="D297" s="94"/>
      <c r="E297" s="3" t="s">
        <v>52</v>
      </c>
      <c r="F297" s="25">
        <v>2</v>
      </c>
      <c r="G297" s="25">
        <v>0</v>
      </c>
      <c r="H297" s="25">
        <f t="shared" si="278"/>
        <v>0</v>
      </c>
      <c r="I297" s="25">
        <f t="shared" si="279"/>
        <v>0</v>
      </c>
      <c r="J297" s="25">
        <f t="shared" si="280"/>
        <v>0</v>
      </c>
      <c r="K297" s="26" t="s">
        <v>53</v>
      </c>
      <c r="Z297" s="25">
        <f t="shared" si="281"/>
        <v>0</v>
      </c>
      <c r="AB297" s="25">
        <f t="shared" si="282"/>
        <v>0</v>
      </c>
      <c r="AC297" s="25">
        <f t="shared" si="283"/>
        <v>0</v>
      </c>
      <c r="AD297" s="25">
        <f t="shared" si="284"/>
        <v>0</v>
      </c>
      <c r="AE297" s="25">
        <f t="shared" si="285"/>
        <v>0</v>
      </c>
      <c r="AF297" s="25">
        <f t="shared" si="286"/>
        <v>0</v>
      </c>
      <c r="AG297" s="25">
        <f t="shared" si="287"/>
        <v>0</v>
      </c>
      <c r="AH297" s="25">
        <f t="shared" si="288"/>
        <v>0</v>
      </c>
      <c r="AI297" s="11" t="s">
        <v>46</v>
      </c>
      <c r="AJ297" s="25">
        <f t="shared" si="289"/>
        <v>0</v>
      </c>
      <c r="AK297" s="25">
        <f t="shared" si="290"/>
        <v>0</v>
      </c>
      <c r="AL297" s="25">
        <f t="shared" si="291"/>
        <v>0</v>
      </c>
      <c r="AN297" s="25">
        <v>21</v>
      </c>
      <c r="AO297" s="25">
        <f t="shared" si="302"/>
        <v>0</v>
      </c>
      <c r="AP297" s="25">
        <f t="shared" si="303"/>
        <v>0</v>
      </c>
      <c r="AQ297" s="27" t="s">
        <v>76</v>
      </c>
      <c r="AV297" s="25">
        <f t="shared" si="294"/>
        <v>0</v>
      </c>
      <c r="AW297" s="25">
        <f t="shared" si="295"/>
        <v>0</v>
      </c>
      <c r="AX297" s="25">
        <f t="shared" si="296"/>
        <v>0</v>
      </c>
      <c r="AY297" s="27" t="s">
        <v>841</v>
      </c>
      <c r="AZ297" s="27" t="s">
        <v>585</v>
      </c>
      <c r="BA297" s="11" t="s">
        <v>56</v>
      </c>
      <c r="BC297" s="25">
        <f t="shared" si="297"/>
        <v>0</v>
      </c>
      <c r="BD297" s="25">
        <f t="shared" si="298"/>
        <v>0</v>
      </c>
      <c r="BE297" s="25">
        <v>0</v>
      </c>
      <c r="BF297" s="25">
        <f>297</f>
        <v>297</v>
      </c>
      <c r="BH297" s="25">
        <f t="shared" si="299"/>
        <v>0</v>
      </c>
      <c r="BI297" s="25">
        <f t="shared" si="300"/>
        <v>0</v>
      </c>
      <c r="BJ297" s="25">
        <f t="shared" si="301"/>
        <v>0</v>
      </c>
      <c r="BK297" s="27" t="s">
        <v>57</v>
      </c>
      <c r="BL297" s="25">
        <v>722</v>
      </c>
      <c r="BW297" s="25">
        <v>21</v>
      </c>
      <c r="BX297" s="5" t="s">
        <v>910</v>
      </c>
    </row>
    <row r="298" spans="1:76" x14ac:dyDescent="0.25">
      <c r="A298" s="2" t="s">
        <v>911</v>
      </c>
      <c r="B298" s="3" t="s">
        <v>912</v>
      </c>
      <c r="C298" s="93" t="s">
        <v>913</v>
      </c>
      <c r="D298" s="94"/>
      <c r="E298" s="3" t="s">
        <v>52</v>
      </c>
      <c r="F298" s="25">
        <v>2</v>
      </c>
      <c r="G298" s="25">
        <v>0</v>
      </c>
      <c r="H298" s="25">
        <f t="shared" si="278"/>
        <v>0</v>
      </c>
      <c r="I298" s="25">
        <f t="shared" si="279"/>
        <v>0</v>
      </c>
      <c r="J298" s="25">
        <f t="shared" si="280"/>
        <v>0</v>
      </c>
      <c r="K298" s="26" t="s">
        <v>53</v>
      </c>
      <c r="Z298" s="25">
        <f t="shared" si="281"/>
        <v>0</v>
      </c>
      <c r="AB298" s="25">
        <f t="shared" si="282"/>
        <v>0</v>
      </c>
      <c r="AC298" s="25">
        <f t="shared" si="283"/>
        <v>0</v>
      </c>
      <c r="AD298" s="25">
        <f t="shared" si="284"/>
        <v>0</v>
      </c>
      <c r="AE298" s="25">
        <f t="shared" si="285"/>
        <v>0</v>
      </c>
      <c r="AF298" s="25">
        <f t="shared" si="286"/>
        <v>0</v>
      </c>
      <c r="AG298" s="25">
        <f t="shared" si="287"/>
        <v>0</v>
      </c>
      <c r="AH298" s="25">
        <f t="shared" si="288"/>
        <v>0</v>
      </c>
      <c r="AI298" s="11" t="s">
        <v>46</v>
      </c>
      <c r="AJ298" s="25">
        <f t="shared" si="289"/>
        <v>0</v>
      </c>
      <c r="AK298" s="25">
        <f t="shared" si="290"/>
        <v>0</v>
      </c>
      <c r="AL298" s="25">
        <f t="shared" si="291"/>
        <v>0</v>
      </c>
      <c r="AN298" s="25">
        <v>21</v>
      </c>
      <c r="AO298" s="25">
        <f t="shared" si="302"/>
        <v>0</v>
      </c>
      <c r="AP298" s="25">
        <f t="shared" si="303"/>
        <v>0</v>
      </c>
      <c r="AQ298" s="27" t="s">
        <v>76</v>
      </c>
      <c r="AV298" s="25">
        <f t="shared" si="294"/>
        <v>0</v>
      </c>
      <c r="AW298" s="25">
        <f t="shared" si="295"/>
        <v>0</v>
      </c>
      <c r="AX298" s="25">
        <f t="shared" si="296"/>
        <v>0</v>
      </c>
      <c r="AY298" s="27" t="s">
        <v>841</v>
      </c>
      <c r="AZ298" s="27" t="s">
        <v>585</v>
      </c>
      <c r="BA298" s="11" t="s">
        <v>56</v>
      </c>
      <c r="BC298" s="25">
        <f t="shared" si="297"/>
        <v>0</v>
      </c>
      <c r="BD298" s="25">
        <f t="shared" si="298"/>
        <v>0</v>
      </c>
      <c r="BE298" s="25">
        <v>0</v>
      </c>
      <c r="BF298" s="25">
        <f>298</f>
        <v>298</v>
      </c>
      <c r="BH298" s="25">
        <f t="shared" si="299"/>
        <v>0</v>
      </c>
      <c r="BI298" s="25">
        <f t="shared" si="300"/>
        <v>0</v>
      </c>
      <c r="BJ298" s="25">
        <f t="shared" si="301"/>
        <v>0</v>
      </c>
      <c r="BK298" s="27" t="s">
        <v>57</v>
      </c>
      <c r="BL298" s="25">
        <v>722</v>
      </c>
      <c r="BW298" s="25">
        <v>21</v>
      </c>
      <c r="BX298" s="5" t="s">
        <v>913</v>
      </c>
    </row>
    <row r="299" spans="1:76" ht="25.5" x14ac:dyDescent="0.25">
      <c r="A299" s="2" t="s">
        <v>914</v>
      </c>
      <c r="B299" s="3" t="s">
        <v>915</v>
      </c>
      <c r="C299" s="93" t="s">
        <v>916</v>
      </c>
      <c r="D299" s="94"/>
      <c r="E299" s="3" t="s">
        <v>52</v>
      </c>
      <c r="F299" s="25">
        <v>2</v>
      </c>
      <c r="G299" s="25">
        <v>0</v>
      </c>
      <c r="H299" s="25">
        <f t="shared" si="278"/>
        <v>0</v>
      </c>
      <c r="I299" s="25">
        <f t="shared" si="279"/>
        <v>0</v>
      </c>
      <c r="J299" s="25">
        <f t="shared" si="280"/>
        <v>0</v>
      </c>
      <c r="K299" s="26" t="s">
        <v>53</v>
      </c>
      <c r="Z299" s="25">
        <f t="shared" si="281"/>
        <v>0</v>
      </c>
      <c r="AB299" s="25">
        <f t="shared" si="282"/>
        <v>0</v>
      </c>
      <c r="AC299" s="25">
        <f t="shared" si="283"/>
        <v>0</v>
      </c>
      <c r="AD299" s="25">
        <f t="shared" si="284"/>
        <v>0</v>
      </c>
      <c r="AE299" s="25">
        <f t="shared" si="285"/>
        <v>0</v>
      </c>
      <c r="AF299" s="25">
        <f t="shared" si="286"/>
        <v>0</v>
      </c>
      <c r="AG299" s="25">
        <f t="shared" si="287"/>
        <v>0</v>
      </c>
      <c r="AH299" s="25">
        <f t="shared" si="288"/>
        <v>0</v>
      </c>
      <c r="AI299" s="11" t="s">
        <v>46</v>
      </c>
      <c r="AJ299" s="25">
        <f t="shared" si="289"/>
        <v>0</v>
      </c>
      <c r="AK299" s="25">
        <f t="shared" si="290"/>
        <v>0</v>
      </c>
      <c r="AL299" s="25">
        <f t="shared" si="291"/>
        <v>0</v>
      </c>
      <c r="AN299" s="25">
        <v>21</v>
      </c>
      <c r="AO299" s="25">
        <f t="shared" si="302"/>
        <v>0</v>
      </c>
      <c r="AP299" s="25">
        <f t="shared" si="303"/>
        <v>0</v>
      </c>
      <c r="AQ299" s="27" t="s">
        <v>76</v>
      </c>
      <c r="AV299" s="25">
        <f t="shared" si="294"/>
        <v>0</v>
      </c>
      <c r="AW299" s="25">
        <f t="shared" si="295"/>
        <v>0</v>
      </c>
      <c r="AX299" s="25">
        <f t="shared" si="296"/>
        <v>0</v>
      </c>
      <c r="AY299" s="27" t="s">
        <v>841</v>
      </c>
      <c r="AZ299" s="27" t="s">
        <v>585</v>
      </c>
      <c r="BA299" s="11" t="s">
        <v>56</v>
      </c>
      <c r="BC299" s="25">
        <f t="shared" si="297"/>
        <v>0</v>
      </c>
      <c r="BD299" s="25">
        <f t="shared" si="298"/>
        <v>0</v>
      </c>
      <c r="BE299" s="25">
        <v>0</v>
      </c>
      <c r="BF299" s="25">
        <f>299</f>
        <v>299</v>
      </c>
      <c r="BH299" s="25">
        <f t="shared" si="299"/>
        <v>0</v>
      </c>
      <c r="BI299" s="25">
        <f t="shared" si="300"/>
        <v>0</v>
      </c>
      <c r="BJ299" s="25">
        <f t="shared" si="301"/>
        <v>0</v>
      </c>
      <c r="BK299" s="27" t="s">
        <v>57</v>
      </c>
      <c r="BL299" s="25">
        <v>722</v>
      </c>
      <c r="BW299" s="25">
        <v>21</v>
      </c>
      <c r="BX299" s="5" t="s">
        <v>916</v>
      </c>
    </row>
    <row r="300" spans="1:76" x14ac:dyDescent="0.25">
      <c r="A300" s="2" t="s">
        <v>917</v>
      </c>
      <c r="B300" s="3" t="s">
        <v>918</v>
      </c>
      <c r="C300" s="93" t="s">
        <v>919</v>
      </c>
      <c r="D300" s="94"/>
      <c r="E300" s="3" t="s">
        <v>52</v>
      </c>
      <c r="F300" s="25">
        <v>5</v>
      </c>
      <c r="G300" s="25">
        <v>0</v>
      </c>
      <c r="H300" s="25">
        <f t="shared" si="278"/>
        <v>0</v>
      </c>
      <c r="I300" s="25">
        <f t="shared" si="279"/>
        <v>0</v>
      </c>
      <c r="J300" s="25">
        <f t="shared" si="280"/>
        <v>0</v>
      </c>
      <c r="K300" s="26" t="s">
        <v>53</v>
      </c>
      <c r="Z300" s="25">
        <f t="shared" si="281"/>
        <v>0</v>
      </c>
      <c r="AB300" s="25">
        <f t="shared" si="282"/>
        <v>0</v>
      </c>
      <c r="AC300" s="25">
        <f t="shared" si="283"/>
        <v>0</v>
      </c>
      <c r="AD300" s="25">
        <f t="shared" si="284"/>
        <v>0</v>
      </c>
      <c r="AE300" s="25">
        <f t="shared" si="285"/>
        <v>0</v>
      </c>
      <c r="AF300" s="25">
        <f t="shared" si="286"/>
        <v>0</v>
      </c>
      <c r="AG300" s="25">
        <f t="shared" si="287"/>
        <v>0</v>
      </c>
      <c r="AH300" s="25">
        <f t="shared" si="288"/>
        <v>0</v>
      </c>
      <c r="AI300" s="11" t="s">
        <v>46</v>
      </c>
      <c r="AJ300" s="25">
        <f t="shared" si="289"/>
        <v>0</v>
      </c>
      <c r="AK300" s="25">
        <f t="shared" si="290"/>
        <v>0</v>
      </c>
      <c r="AL300" s="25">
        <f t="shared" si="291"/>
        <v>0</v>
      </c>
      <c r="AN300" s="25">
        <v>21</v>
      </c>
      <c r="AO300" s="25">
        <f t="shared" si="302"/>
        <v>0</v>
      </c>
      <c r="AP300" s="25">
        <f t="shared" si="303"/>
        <v>0</v>
      </c>
      <c r="AQ300" s="27" t="s">
        <v>76</v>
      </c>
      <c r="AV300" s="25">
        <f t="shared" si="294"/>
        <v>0</v>
      </c>
      <c r="AW300" s="25">
        <f t="shared" si="295"/>
        <v>0</v>
      </c>
      <c r="AX300" s="25">
        <f t="shared" si="296"/>
        <v>0</v>
      </c>
      <c r="AY300" s="27" t="s">
        <v>841</v>
      </c>
      <c r="AZ300" s="27" t="s">
        <v>585</v>
      </c>
      <c r="BA300" s="11" t="s">
        <v>56</v>
      </c>
      <c r="BC300" s="25">
        <f t="shared" si="297"/>
        <v>0</v>
      </c>
      <c r="BD300" s="25">
        <f t="shared" si="298"/>
        <v>0</v>
      </c>
      <c r="BE300" s="25">
        <v>0</v>
      </c>
      <c r="BF300" s="25">
        <f>300</f>
        <v>300</v>
      </c>
      <c r="BH300" s="25">
        <f t="shared" si="299"/>
        <v>0</v>
      </c>
      <c r="BI300" s="25">
        <f t="shared" si="300"/>
        <v>0</v>
      </c>
      <c r="BJ300" s="25">
        <f t="shared" si="301"/>
        <v>0</v>
      </c>
      <c r="BK300" s="27" t="s">
        <v>57</v>
      </c>
      <c r="BL300" s="25">
        <v>722</v>
      </c>
      <c r="BW300" s="25">
        <v>21</v>
      </c>
      <c r="BX300" s="5" t="s">
        <v>919</v>
      </c>
    </row>
    <row r="301" spans="1:76" ht="25.5" x14ac:dyDescent="0.25">
      <c r="A301" s="2" t="s">
        <v>920</v>
      </c>
      <c r="B301" s="3" t="s">
        <v>921</v>
      </c>
      <c r="C301" s="93" t="s">
        <v>922</v>
      </c>
      <c r="D301" s="94"/>
      <c r="E301" s="3" t="s">
        <v>52</v>
      </c>
      <c r="F301" s="25">
        <v>2</v>
      </c>
      <c r="G301" s="25">
        <v>0</v>
      </c>
      <c r="H301" s="25">
        <f t="shared" si="278"/>
        <v>0</v>
      </c>
      <c r="I301" s="25">
        <f t="shared" si="279"/>
        <v>0</v>
      </c>
      <c r="J301" s="25">
        <f t="shared" si="280"/>
        <v>0</v>
      </c>
      <c r="K301" s="26" t="s">
        <v>53</v>
      </c>
      <c r="Z301" s="25">
        <f t="shared" si="281"/>
        <v>0</v>
      </c>
      <c r="AB301" s="25">
        <f t="shared" si="282"/>
        <v>0</v>
      </c>
      <c r="AC301" s="25">
        <f t="shared" si="283"/>
        <v>0</v>
      </c>
      <c r="AD301" s="25">
        <f t="shared" si="284"/>
        <v>0</v>
      </c>
      <c r="AE301" s="25">
        <f t="shared" si="285"/>
        <v>0</v>
      </c>
      <c r="AF301" s="25">
        <f t="shared" si="286"/>
        <v>0</v>
      </c>
      <c r="AG301" s="25">
        <f t="shared" si="287"/>
        <v>0</v>
      </c>
      <c r="AH301" s="25">
        <f t="shared" si="288"/>
        <v>0</v>
      </c>
      <c r="AI301" s="11" t="s">
        <v>46</v>
      </c>
      <c r="AJ301" s="25">
        <f t="shared" si="289"/>
        <v>0</v>
      </c>
      <c r="AK301" s="25">
        <f t="shared" si="290"/>
        <v>0</v>
      </c>
      <c r="AL301" s="25">
        <f t="shared" si="291"/>
        <v>0</v>
      </c>
      <c r="AN301" s="25">
        <v>21</v>
      </c>
      <c r="AO301" s="25">
        <f t="shared" si="302"/>
        <v>0</v>
      </c>
      <c r="AP301" s="25">
        <f t="shared" si="303"/>
        <v>0</v>
      </c>
      <c r="AQ301" s="27" t="s">
        <v>76</v>
      </c>
      <c r="AV301" s="25">
        <f t="shared" si="294"/>
        <v>0</v>
      </c>
      <c r="AW301" s="25">
        <f t="shared" si="295"/>
        <v>0</v>
      </c>
      <c r="AX301" s="25">
        <f t="shared" si="296"/>
        <v>0</v>
      </c>
      <c r="AY301" s="27" t="s">
        <v>841</v>
      </c>
      <c r="AZ301" s="27" t="s">
        <v>585</v>
      </c>
      <c r="BA301" s="11" t="s">
        <v>56</v>
      </c>
      <c r="BC301" s="25">
        <f t="shared" si="297"/>
        <v>0</v>
      </c>
      <c r="BD301" s="25">
        <f t="shared" si="298"/>
        <v>0</v>
      </c>
      <c r="BE301" s="25">
        <v>0</v>
      </c>
      <c r="BF301" s="25">
        <f>301</f>
        <v>301</v>
      </c>
      <c r="BH301" s="25">
        <f t="shared" si="299"/>
        <v>0</v>
      </c>
      <c r="BI301" s="25">
        <f t="shared" si="300"/>
        <v>0</v>
      </c>
      <c r="BJ301" s="25">
        <f t="shared" si="301"/>
        <v>0</v>
      </c>
      <c r="BK301" s="27" t="s">
        <v>57</v>
      </c>
      <c r="BL301" s="25">
        <v>722</v>
      </c>
      <c r="BW301" s="25">
        <v>21</v>
      </c>
      <c r="BX301" s="5" t="s">
        <v>922</v>
      </c>
    </row>
    <row r="302" spans="1:76" x14ac:dyDescent="0.25">
      <c r="A302" s="2" t="s">
        <v>923</v>
      </c>
      <c r="B302" s="3" t="s">
        <v>924</v>
      </c>
      <c r="C302" s="93" t="s">
        <v>925</v>
      </c>
      <c r="D302" s="94"/>
      <c r="E302" s="3" t="s">
        <v>52</v>
      </c>
      <c r="F302" s="25">
        <v>2</v>
      </c>
      <c r="G302" s="25">
        <v>0</v>
      </c>
      <c r="H302" s="25">
        <f t="shared" si="278"/>
        <v>0</v>
      </c>
      <c r="I302" s="25">
        <f t="shared" si="279"/>
        <v>0</v>
      </c>
      <c r="J302" s="25">
        <f t="shared" si="280"/>
        <v>0</v>
      </c>
      <c r="K302" s="26" t="s">
        <v>53</v>
      </c>
      <c r="Z302" s="25">
        <f t="shared" si="281"/>
        <v>0</v>
      </c>
      <c r="AB302" s="25">
        <f t="shared" si="282"/>
        <v>0</v>
      </c>
      <c r="AC302" s="25">
        <f t="shared" si="283"/>
        <v>0</v>
      </c>
      <c r="AD302" s="25">
        <f t="shared" si="284"/>
        <v>0</v>
      </c>
      <c r="AE302" s="25">
        <f t="shared" si="285"/>
        <v>0</v>
      </c>
      <c r="AF302" s="25">
        <f t="shared" si="286"/>
        <v>0</v>
      </c>
      <c r="AG302" s="25">
        <f t="shared" si="287"/>
        <v>0</v>
      </c>
      <c r="AH302" s="25">
        <f t="shared" si="288"/>
        <v>0</v>
      </c>
      <c r="AI302" s="11" t="s">
        <v>46</v>
      </c>
      <c r="AJ302" s="25">
        <f t="shared" si="289"/>
        <v>0</v>
      </c>
      <c r="AK302" s="25">
        <f t="shared" si="290"/>
        <v>0</v>
      </c>
      <c r="AL302" s="25">
        <f t="shared" si="291"/>
        <v>0</v>
      </c>
      <c r="AN302" s="25">
        <v>21</v>
      </c>
      <c r="AO302" s="25">
        <f t="shared" si="302"/>
        <v>0</v>
      </c>
      <c r="AP302" s="25">
        <f t="shared" si="303"/>
        <v>0</v>
      </c>
      <c r="AQ302" s="27" t="s">
        <v>76</v>
      </c>
      <c r="AV302" s="25">
        <f t="shared" si="294"/>
        <v>0</v>
      </c>
      <c r="AW302" s="25">
        <f t="shared" si="295"/>
        <v>0</v>
      </c>
      <c r="AX302" s="25">
        <f t="shared" si="296"/>
        <v>0</v>
      </c>
      <c r="AY302" s="27" t="s">
        <v>841</v>
      </c>
      <c r="AZ302" s="27" t="s">
        <v>585</v>
      </c>
      <c r="BA302" s="11" t="s">
        <v>56</v>
      </c>
      <c r="BC302" s="25">
        <f t="shared" si="297"/>
        <v>0</v>
      </c>
      <c r="BD302" s="25">
        <f t="shared" si="298"/>
        <v>0</v>
      </c>
      <c r="BE302" s="25">
        <v>0</v>
      </c>
      <c r="BF302" s="25">
        <f>302</f>
        <v>302</v>
      </c>
      <c r="BH302" s="25">
        <f t="shared" si="299"/>
        <v>0</v>
      </c>
      <c r="BI302" s="25">
        <f t="shared" si="300"/>
        <v>0</v>
      </c>
      <c r="BJ302" s="25">
        <f t="shared" si="301"/>
        <v>0</v>
      </c>
      <c r="BK302" s="27" t="s">
        <v>57</v>
      </c>
      <c r="BL302" s="25">
        <v>722</v>
      </c>
      <c r="BW302" s="25">
        <v>21</v>
      </c>
      <c r="BX302" s="5" t="s">
        <v>925</v>
      </c>
    </row>
    <row r="303" spans="1:76" ht="25.5" x14ac:dyDescent="0.25">
      <c r="A303" s="2" t="s">
        <v>926</v>
      </c>
      <c r="B303" s="3" t="s">
        <v>927</v>
      </c>
      <c r="C303" s="93" t="s">
        <v>928</v>
      </c>
      <c r="D303" s="94"/>
      <c r="E303" s="3" t="s">
        <v>52</v>
      </c>
      <c r="F303" s="25">
        <v>2</v>
      </c>
      <c r="G303" s="25">
        <v>0</v>
      </c>
      <c r="H303" s="25">
        <f t="shared" si="278"/>
        <v>0</v>
      </c>
      <c r="I303" s="25">
        <f t="shared" si="279"/>
        <v>0</v>
      </c>
      <c r="J303" s="25">
        <f t="shared" si="280"/>
        <v>0</v>
      </c>
      <c r="K303" s="26" t="s">
        <v>53</v>
      </c>
      <c r="Z303" s="25">
        <f t="shared" si="281"/>
        <v>0</v>
      </c>
      <c r="AB303" s="25">
        <f t="shared" si="282"/>
        <v>0</v>
      </c>
      <c r="AC303" s="25">
        <f t="shared" si="283"/>
        <v>0</v>
      </c>
      <c r="AD303" s="25">
        <f t="shared" si="284"/>
        <v>0</v>
      </c>
      <c r="AE303" s="25">
        <f t="shared" si="285"/>
        <v>0</v>
      </c>
      <c r="AF303" s="25">
        <f t="shared" si="286"/>
        <v>0</v>
      </c>
      <c r="AG303" s="25">
        <f t="shared" si="287"/>
        <v>0</v>
      </c>
      <c r="AH303" s="25">
        <f t="shared" si="288"/>
        <v>0</v>
      </c>
      <c r="AI303" s="11" t="s">
        <v>46</v>
      </c>
      <c r="AJ303" s="25">
        <f t="shared" si="289"/>
        <v>0</v>
      </c>
      <c r="AK303" s="25">
        <f t="shared" si="290"/>
        <v>0</v>
      </c>
      <c r="AL303" s="25">
        <f t="shared" si="291"/>
        <v>0</v>
      </c>
      <c r="AN303" s="25">
        <v>21</v>
      </c>
      <c r="AO303" s="25">
        <f t="shared" si="302"/>
        <v>0</v>
      </c>
      <c r="AP303" s="25">
        <f t="shared" si="303"/>
        <v>0</v>
      </c>
      <c r="AQ303" s="27" t="s">
        <v>76</v>
      </c>
      <c r="AV303" s="25">
        <f t="shared" si="294"/>
        <v>0</v>
      </c>
      <c r="AW303" s="25">
        <f t="shared" si="295"/>
        <v>0</v>
      </c>
      <c r="AX303" s="25">
        <f t="shared" si="296"/>
        <v>0</v>
      </c>
      <c r="AY303" s="27" t="s">
        <v>841</v>
      </c>
      <c r="AZ303" s="27" t="s">
        <v>585</v>
      </c>
      <c r="BA303" s="11" t="s">
        <v>56</v>
      </c>
      <c r="BC303" s="25">
        <f t="shared" si="297"/>
        <v>0</v>
      </c>
      <c r="BD303" s="25">
        <f t="shared" si="298"/>
        <v>0</v>
      </c>
      <c r="BE303" s="25">
        <v>0</v>
      </c>
      <c r="BF303" s="25">
        <f>303</f>
        <v>303</v>
      </c>
      <c r="BH303" s="25">
        <f t="shared" si="299"/>
        <v>0</v>
      </c>
      <c r="BI303" s="25">
        <f t="shared" si="300"/>
        <v>0</v>
      </c>
      <c r="BJ303" s="25">
        <f t="shared" si="301"/>
        <v>0</v>
      </c>
      <c r="BK303" s="27" t="s">
        <v>57</v>
      </c>
      <c r="BL303" s="25">
        <v>722</v>
      </c>
      <c r="BW303" s="25">
        <v>21</v>
      </c>
      <c r="BX303" s="5" t="s">
        <v>928</v>
      </c>
    </row>
    <row r="304" spans="1:76" ht="25.5" x14ac:dyDescent="0.25">
      <c r="A304" s="2" t="s">
        <v>929</v>
      </c>
      <c r="B304" s="3" t="s">
        <v>930</v>
      </c>
      <c r="C304" s="93" t="s">
        <v>931</v>
      </c>
      <c r="D304" s="94"/>
      <c r="E304" s="3" t="s">
        <v>52</v>
      </c>
      <c r="F304" s="25">
        <v>1</v>
      </c>
      <c r="G304" s="25">
        <v>0</v>
      </c>
      <c r="H304" s="25">
        <f t="shared" si="278"/>
        <v>0</v>
      </c>
      <c r="I304" s="25">
        <f t="shared" si="279"/>
        <v>0</v>
      </c>
      <c r="J304" s="25">
        <f t="shared" si="280"/>
        <v>0</v>
      </c>
      <c r="K304" s="26" t="s">
        <v>53</v>
      </c>
      <c r="Z304" s="25">
        <f t="shared" si="281"/>
        <v>0</v>
      </c>
      <c r="AB304" s="25">
        <f t="shared" si="282"/>
        <v>0</v>
      </c>
      <c r="AC304" s="25">
        <f t="shared" si="283"/>
        <v>0</v>
      </c>
      <c r="AD304" s="25">
        <f t="shared" si="284"/>
        <v>0</v>
      </c>
      <c r="AE304" s="25">
        <f t="shared" si="285"/>
        <v>0</v>
      </c>
      <c r="AF304" s="25">
        <f t="shared" si="286"/>
        <v>0</v>
      </c>
      <c r="AG304" s="25">
        <f t="shared" si="287"/>
        <v>0</v>
      </c>
      <c r="AH304" s="25">
        <f t="shared" si="288"/>
        <v>0</v>
      </c>
      <c r="AI304" s="11" t="s">
        <v>46</v>
      </c>
      <c r="AJ304" s="25">
        <f t="shared" si="289"/>
        <v>0</v>
      </c>
      <c r="AK304" s="25">
        <f t="shared" si="290"/>
        <v>0</v>
      </c>
      <c r="AL304" s="25">
        <f t="shared" si="291"/>
        <v>0</v>
      </c>
      <c r="AN304" s="25">
        <v>21</v>
      </c>
      <c r="AO304" s="25">
        <f t="shared" si="302"/>
        <v>0</v>
      </c>
      <c r="AP304" s="25">
        <f t="shared" si="303"/>
        <v>0</v>
      </c>
      <c r="AQ304" s="27" t="s">
        <v>76</v>
      </c>
      <c r="AV304" s="25">
        <f t="shared" si="294"/>
        <v>0</v>
      </c>
      <c r="AW304" s="25">
        <f t="shared" si="295"/>
        <v>0</v>
      </c>
      <c r="AX304" s="25">
        <f t="shared" si="296"/>
        <v>0</v>
      </c>
      <c r="AY304" s="27" t="s">
        <v>841</v>
      </c>
      <c r="AZ304" s="27" t="s">
        <v>585</v>
      </c>
      <c r="BA304" s="11" t="s">
        <v>56</v>
      </c>
      <c r="BC304" s="25">
        <f t="shared" si="297"/>
        <v>0</v>
      </c>
      <c r="BD304" s="25">
        <f t="shared" si="298"/>
        <v>0</v>
      </c>
      <c r="BE304" s="25">
        <v>0</v>
      </c>
      <c r="BF304" s="25">
        <f>304</f>
        <v>304</v>
      </c>
      <c r="BH304" s="25">
        <f t="shared" si="299"/>
        <v>0</v>
      </c>
      <c r="BI304" s="25">
        <f t="shared" si="300"/>
        <v>0</v>
      </c>
      <c r="BJ304" s="25">
        <f t="shared" si="301"/>
        <v>0</v>
      </c>
      <c r="BK304" s="27" t="s">
        <v>57</v>
      </c>
      <c r="BL304" s="25">
        <v>722</v>
      </c>
      <c r="BW304" s="25">
        <v>21</v>
      </c>
      <c r="BX304" s="5" t="s">
        <v>931</v>
      </c>
    </row>
    <row r="305" spans="1:76" x14ac:dyDescent="0.25">
      <c r="A305" s="2" t="s">
        <v>932</v>
      </c>
      <c r="B305" s="3" t="s">
        <v>933</v>
      </c>
      <c r="C305" s="93" t="s">
        <v>934</v>
      </c>
      <c r="D305" s="94"/>
      <c r="E305" s="3" t="s">
        <v>52</v>
      </c>
      <c r="F305" s="25">
        <v>1</v>
      </c>
      <c r="G305" s="25">
        <v>0</v>
      </c>
      <c r="H305" s="25">
        <f t="shared" si="278"/>
        <v>0</v>
      </c>
      <c r="I305" s="25">
        <f t="shared" si="279"/>
        <v>0</v>
      </c>
      <c r="J305" s="25">
        <f t="shared" si="280"/>
        <v>0</v>
      </c>
      <c r="K305" s="26" t="s">
        <v>53</v>
      </c>
      <c r="Z305" s="25">
        <f t="shared" si="281"/>
        <v>0</v>
      </c>
      <c r="AB305" s="25">
        <f t="shared" si="282"/>
        <v>0</v>
      </c>
      <c r="AC305" s="25">
        <f t="shared" si="283"/>
        <v>0</v>
      </c>
      <c r="AD305" s="25">
        <f t="shared" si="284"/>
        <v>0</v>
      </c>
      <c r="AE305" s="25">
        <f t="shared" si="285"/>
        <v>0</v>
      </c>
      <c r="AF305" s="25">
        <f t="shared" si="286"/>
        <v>0</v>
      </c>
      <c r="AG305" s="25">
        <f t="shared" si="287"/>
        <v>0</v>
      </c>
      <c r="AH305" s="25">
        <f t="shared" si="288"/>
        <v>0</v>
      </c>
      <c r="AI305" s="11" t="s">
        <v>46</v>
      </c>
      <c r="AJ305" s="25">
        <f t="shared" si="289"/>
        <v>0</v>
      </c>
      <c r="AK305" s="25">
        <f t="shared" si="290"/>
        <v>0</v>
      </c>
      <c r="AL305" s="25">
        <f t="shared" si="291"/>
        <v>0</v>
      </c>
      <c r="AN305" s="25">
        <v>21</v>
      </c>
      <c r="AO305" s="25">
        <f t="shared" si="302"/>
        <v>0</v>
      </c>
      <c r="AP305" s="25">
        <f t="shared" si="303"/>
        <v>0</v>
      </c>
      <c r="AQ305" s="27" t="s">
        <v>76</v>
      </c>
      <c r="AV305" s="25">
        <f t="shared" si="294"/>
        <v>0</v>
      </c>
      <c r="AW305" s="25">
        <f t="shared" si="295"/>
        <v>0</v>
      </c>
      <c r="AX305" s="25">
        <f t="shared" si="296"/>
        <v>0</v>
      </c>
      <c r="AY305" s="27" t="s">
        <v>841</v>
      </c>
      <c r="AZ305" s="27" t="s">
        <v>585</v>
      </c>
      <c r="BA305" s="11" t="s">
        <v>56</v>
      </c>
      <c r="BC305" s="25">
        <f t="shared" si="297"/>
        <v>0</v>
      </c>
      <c r="BD305" s="25">
        <f t="shared" si="298"/>
        <v>0</v>
      </c>
      <c r="BE305" s="25">
        <v>0</v>
      </c>
      <c r="BF305" s="25">
        <f>305</f>
        <v>305</v>
      </c>
      <c r="BH305" s="25">
        <f t="shared" si="299"/>
        <v>0</v>
      </c>
      <c r="BI305" s="25">
        <f t="shared" si="300"/>
        <v>0</v>
      </c>
      <c r="BJ305" s="25">
        <f t="shared" si="301"/>
        <v>0</v>
      </c>
      <c r="BK305" s="27" t="s">
        <v>57</v>
      </c>
      <c r="BL305" s="25">
        <v>722</v>
      </c>
      <c r="BW305" s="25">
        <v>21</v>
      </c>
      <c r="BX305" s="5" t="s">
        <v>934</v>
      </c>
    </row>
    <row r="306" spans="1:76" ht="25.5" x14ac:dyDescent="0.25">
      <c r="A306" s="2" t="s">
        <v>935</v>
      </c>
      <c r="B306" s="3" t="s">
        <v>936</v>
      </c>
      <c r="C306" s="93" t="s">
        <v>937</v>
      </c>
      <c r="D306" s="94"/>
      <c r="E306" s="3" t="s">
        <v>52</v>
      </c>
      <c r="F306" s="25">
        <v>84</v>
      </c>
      <c r="G306" s="25">
        <v>0</v>
      </c>
      <c r="H306" s="25">
        <f t="shared" ref="H306:H336" si="304">ROUND(F306*AO306,2)</f>
        <v>0</v>
      </c>
      <c r="I306" s="25">
        <f t="shared" ref="I306:I336" si="305">ROUND(F306*AP306,2)</f>
        <v>0</v>
      </c>
      <c r="J306" s="25">
        <f t="shared" ref="J306:J336" si="306">ROUND(F306*G306,1)</f>
        <v>0</v>
      </c>
      <c r="K306" s="26" t="s">
        <v>53</v>
      </c>
      <c r="Z306" s="25">
        <f t="shared" ref="Z306:Z336" si="307">ROUND(IF(AQ306="5",BJ306,0),2)</f>
        <v>0</v>
      </c>
      <c r="AB306" s="25">
        <f t="shared" ref="AB306:AB336" si="308">ROUND(IF(AQ306="1",BH306,0),2)</f>
        <v>0</v>
      </c>
      <c r="AC306" s="25">
        <f t="shared" ref="AC306:AC336" si="309">ROUND(IF(AQ306="1",BI306,0),2)</f>
        <v>0</v>
      </c>
      <c r="AD306" s="25">
        <f t="shared" ref="AD306:AD336" si="310">ROUND(IF(AQ306="7",BH306,0),2)</f>
        <v>0</v>
      </c>
      <c r="AE306" s="25">
        <f t="shared" ref="AE306:AE336" si="311">ROUND(IF(AQ306="7",BI306,0),2)</f>
        <v>0</v>
      </c>
      <c r="AF306" s="25">
        <f t="shared" ref="AF306:AF336" si="312">ROUND(IF(AQ306="2",BH306,0),2)</f>
        <v>0</v>
      </c>
      <c r="AG306" s="25">
        <f t="shared" ref="AG306:AG336" si="313">ROUND(IF(AQ306="2",BI306,0),2)</f>
        <v>0</v>
      </c>
      <c r="AH306" s="25">
        <f t="shared" ref="AH306:AH336" si="314">ROUND(IF(AQ306="0",BJ306,0),2)</f>
        <v>0</v>
      </c>
      <c r="AI306" s="11" t="s">
        <v>46</v>
      </c>
      <c r="AJ306" s="25">
        <f t="shared" ref="AJ306:AJ336" si="315">IF(AN306=0,J306,0)</f>
        <v>0</v>
      </c>
      <c r="AK306" s="25">
        <f t="shared" ref="AK306:AK336" si="316">IF(AN306=12,J306,0)</f>
        <v>0</v>
      </c>
      <c r="AL306" s="25">
        <f t="shared" ref="AL306:AL336" si="317">IF(AN306=21,J306,0)</f>
        <v>0</v>
      </c>
      <c r="AN306" s="25">
        <v>21</v>
      </c>
      <c r="AO306" s="25">
        <f t="shared" si="302"/>
        <v>0</v>
      </c>
      <c r="AP306" s="25">
        <f t="shared" si="303"/>
        <v>0</v>
      </c>
      <c r="AQ306" s="27" t="s">
        <v>76</v>
      </c>
      <c r="AV306" s="25">
        <f t="shared" ref="AV306:AV336" si="318">ROUND(AW306+AX306,2)</f>
        <v>0</v>
      </c>
      <c r="AW306" s="25">
        <f t="shared" ref="AW306:AW336" si="319">ROUND(F306*AO306,2)</f>
        <v>0</v>
      </c>
      <c r="AX306" s="25">
        <f t="shared" ref="AX306:AX336" si="320">ROUND(F306*AP306,2)</f>
        <v>0</v>
      </c>
      <c r="AY306" s="27" t="s">
        <v>841</v>
      </c>
      <c r="AZ306" s="27" t="s">
        <v>585</v>
      </c>
      <c r="BA306" s="11" t="s">
        <v>56</v>
      </c>
      <c r="BC306" s="25">
        <f t="shared" ref="BC306:BC336" si="321">AW306+AX306</f>
        <v>0</v>
      </c>
      <c r="BD306" s="25">
        <f t="shared" ref="BD306:BD336" si="322">G306/(100-BE306)*100</f>
        <v>0</v>
      </c>
      <c r="BE306" s="25">
        <v>0</v>
      </c>
      <c r="BF306" s="25">
        <f>306</f>
        <v>306</v>
      </c>
      <c r="BH306" s="25">
        <f t="shared" ref="BH306:BH336" si="323">F306*AO306</f>
        <v>0</v>
      </c>
      <c r="BI306" s="25">
        <f t="shared" ref="BI306:BI336" si="324">F306*AP306</f>
        <v>0</v>
      </c>
      <c r="BJ306" s="25">
        <f t="shared" ref="BJ306:BJ336" si="325">F306*G306</f>
        <v>0</v>
      </c>
      <c r="BK306" s="27" t="s">
        <v>57</v>
      </c>
      <c r="BL306" s="25">
        <v>722</v>
      </c>
      <c r="BW306" s="25">
        <v>21</v>
      </c>
      <c r="BX306" s="5" t="s">
        <v>937</v>
      </c>
    </row>
    <row r="307" spans="1:76" ht="25.5" x14ac:dyDescent="0.25">
      <c r="A307" s="2" t="s">
        <v>938</v>
      </c>
      <c r="B307" s="3" t="s">
        <v>939</v>
      </c>
      <c r="C307" s="93" t="s">
        <v>940</v>
      </c>
      <c r="D307" s="94"/>
      <c r="E307" s="3" t="s">
        <v>52</v>
      </c>
      <c r="F307" s="25">
        <v>84</v>
      </c>
      <c r="G307" s="25">
        <v>0</v>
      </c>
      <c r="H307" s="25">
        <f t="shared" si="304"/>
        <v>0</v>
      </c>
      <c r="I307" s="25">
        <f t="shared" si="305"/>
        <v>0</v>
      </c>
      <c r="J307" s="25">
        <f t="shared" si="306"/>
        <v>0</v>
      </c>
      <c r="K307" s="26" t="s">
        <v>53</v>
      </c>
      <c r="Z307" s="25">
        <f t="shared" si="307"/>
        <v>0</v>
      </c>
      <c r="AB307" s="25">
        <f t="shared" si="308"/>
        <v>0</v>
      </c>
      <c r="AC307" s="25">
        <f t="shared" si="309"/>
        <v>0</v>
      </c>
      <c r="AD307" s="25">
        <f t="shared" si="310"/>
        <v>0</v>
      </c>
      <c r="AE307" s="25">
        <f t="shared" si="311"/>
        <v>0</v>
      </c>
      <c r="AF307" s="25">
        <f t="shared" si="312"/>
        <v>0</v>
      </c>
      <c r="AG307" s="25">
        <f t="shared" si="313"/>
        <v>0</v>
      </c>
      <c r="AH307" s="25">
        <f t="shared" si="314"/>
        <v>0</v>
      </c>
      <c r="AI307" s="11" t="s">
        <v>46</v>
      </c>
      <c r="AJ307" s="25">
        <f t="shared" si="315"/>
        <v>0</v>
      </c>
      <c r="AK307" s="25">
        <f t="shared" si="316"/>
        <v>0</v>
      </c>
      <c r="AL307" s="25">
        <f t="shared" si="317"/>
        <v>0</v>
      </c>
      <c r="AN307" s="25">
        <v>21</v>
      </c>
      <c r="AO307" s="25">
        <f t="shared" si="302"/>
        <v>0</v>
      </c>
      <c r="AP307" s="25">
        <f t="shared" si="303"/>
        <v>0</v>
      </c>
      <c r="AQ307" s="27" t="s">
        <v>76</v>
      </c>
      <c r="AV307" s="25">
        <f t="shared" si="318"/>
        <v>0</v>
      </c>
      <c r="AW307" s="25">
        <f t="shared" si="319"/>
        <v>0</v>
      </c>
      <c r="AX307" s="25">
        <f t="shared" si="320"/>
        <v>0</v>
      </c>
      <c r="AY307" s="27" t="s">
        <v>841</v>
      </c>
      <c r="AZ307" s="27" t="s">
        <v>585</v>
      </c>
      <c r="BA307" s="11" t="s">
        <v>56</v>
      </c>
      <c r="BC307" s="25">
        <f t="shared" si="321"/>
        <v>0</v>
      </c>
      <c r="BD307" s="25">
        <f t="shared" si="322"/>
        <v>0</v>
      </c>
      <c r="BE307" s="25">
        <v>0</v>
      </c>
      <c r="BF307" s="25">
        <f>307</f>
        <v>307</v>
      </c>
      <c r="BH307" s="25">
        <f t="shared" si="323"/>
        <v>0</v>
      </c>
      <c r="BI307" s="25">
        <f t="shared" si="324"/>
        <v>0</v>
      </c>
      <c r="BJ307" s="25">
        <f t="shared" si="325"/>
        <v>0</v>
      </c>
      <c r="BK307" s="27" t="s">
        <v>57</v>
      </c>
      <c r="BL307" s="25">
        <v>722</v>
      </c>
      <c r="BW307" s="25">
        <v>21</v>
      </c>
      <c r="BX307" s="5" t="s">
        <v>940</v>
      </c>
    </row>
    <row r="308" spans="1:76" ht="25.5" x14ac:dyDescent="0.25">
      <c r="A308" s="2" t="s">
        <v>941</v>
      </c>
      <c r="B308" s="3" t="s">
        <v>942</v>
      </c>
      <c r="C308" s="93" t="s">
        <v>943</v>
      </c>
      <c r="D308" s="94"/>
      <c r="E308" s="3" t="s">
        <v>52</v>
      </c>
      <c r="F308" s="25">
        <v>2</v>
      </c>
      <c r="G308" s="25">
        <v>0</v>
      </c>
      <c r="H308" s="25">
        <f t="shared" si="304"/>
        <v>0</v>
      </c>
      <c r="I308" s="25">
        <f t="shared" si="305"/>
        <v>0</v>
      </c>
      <c r="J308" s="25">
        <f t="shared" si="306"/>
        <v>0</v>
      </c>
      <c r="K308" s="26" t="s">
        <v>53</v>
      </c>
      <c r="Z308" s="25">
        <f t="shared" si="307"/>
        <v>0</v>
      </c>
      <c r="AB308" s="25">
        <f t="shared" si="308"/>
        <v>0</v>
      </c>
      <c r="AC308" s="25">
        <f t="shared" si="309"/>
        <v>0</v>
      </c>
      <c r="AD308" s="25">
        <f t="shared" si="310"/>
        <v>0</v>
      </c>
      <c r="AE308" s="25">
        <f t="shared" si="311"/>
        <v>0</v>
      </c>
      <c r="AF308" s="25">
        <f t="shared" si="312"/>
        <v>0</v>
      </c>
      <c r="AG308" s="25">
        <f t="shared" si="313"/>
        <v>0</v>
      </c>
      <c r="AH308" s="25">
        <f t="shared" si="314"/>
        <v>0</v>
      </c>
      <c r="AI308" s="11" t="s">
        <v>46</v>
      </c>
      <c r="AJ308" s="25">
        <f t="shared" si="315"/>
        <v>0</v>
      </c>
      <c r="AK308" s="25">
        <f t="shared" si="316"/>
        <v>0</v>
      </c>
      <c r="AL308" s="25">
        <f t="shared" si="317"/>
        <v>0</v>
      </c>
      <c r="AN308" s="25">
        <v>21</v>
      </c>
      <c r="AO308" s="25">
        <f t="shared" si="302"/>
        <v>0</v>
      </c>
      <c r="AP308" s="25">
        <f t="shared" si="303"/>
        <v>0</v>
      </c>
      <c r="AQ308" s="27" t="s">
        <v>76</v>
      </c>
      <c r="AV308" s="25">
        <f t="shared" si="318"/>
        <v>0</v>
      </c>
      <c r="AW308" s="25">
        <f t="shared" si="319"/>
        <v>0</v>
      </c>
      <c r="AX308" s="25">
        <f t="shared" si="320"/>
        <v>0</v>
      </c>
      <c r="AY308" s="27" t="s">
        <v>841</v>
      </c>
      <c r="AZ308" s="27" t="s">
        <v>585</v>
      </c>
      <c r="BA308" s="11" t="s">
        <v>56</v>
      </c>
      <c r="BC308" s="25">
        <f t="shared" si="321"/>
        <v>0</v>
      </c>
      <c r="BD308" s="25">
        <f t="shared" si="322"/>
        <v>0</v>
      </c>
      <c r="BE308" s="25">
        <v>0</v>
      </c>
      <c r="BF308" s="25">
        <f>308</f>
        <v>308</v>
      </c>
      <c r="BH308" s="25">
        <f t="shared" si="323"/>
        <v>0</v>
      </c>
      <c r="BI308" s="25">
        <f t="shared" si="324"/>
        <v>0</v>
      </c>
      <c r="BJ308" s="25">
        <f t="shared" si="325"/>
        <v>0</v>
      </c>
      <c r="BK308" s="27" t="s">
        <v>57</v>
      </c>
      <c r="BL308" s="25">
        <v>722</v>
      </c>
      <c r="BW308" s="25">
        <v>21</v>
      </c>
      <c r="BX308" s="5" t="s">
        <v>943</v>
      </c>
    </row>
    <row r="309" spans="1:76" ht="25.5" x14ac:dyDescent="0.25">
      <c r="A309" s="2" t="s">
        <v>944</v>
      </c>
      <c r="B309" s="3" t="s">
        <v>945</v>
      </c>
      <c r="C309" s="93" t="s">
        <v>946</v>
      </c>
      <c r="D309" s="94"/>
      <c r="E309" s="3" t="s">
        <v>52</v>
      </c>
      <c r="F309" s="25">
        <v>6</v>
      </c>
      <c r="G309" s="25">
        <v>0</v>
      </c>
      <c r="H309" s="25">
        <f t="shared" si="304"/>
        <v>0</v>
      </c>
      <c r="I309" s="25">
        <f t="shared" si="305"/>
        <v>0</v>
      </c>
      <c r="J309" s="25">
        <f t="shared" si="306"/>
        <v>0</v>
      </c>
      <c r="K309" s="26" t="s">
        <v>53</v>
      </c>
      <c r="Z309" s="25">
        <f t="shared" si="307"/>
        <v>0</v>
      </c>
      <c r="AB309" s="25">
        <f t="shared" si="308"/>
        <v>0</v>
      </c>
      <c r="AC309" s="25">
        <f t="shared" si="309"/>
        <v>0</v>
      </c>
      <c r="AD309" s="25">
        <f t="shared" si="310"/>
        <v>0</v>
      </c>
      <c r="AE309" s="25">
        <f t="shared" si="311"/>
        <v>0</v>
      </c>
      <c r="AF309" s="25">
        <f t="shared" si="312"/>
        <v>0</v>
      </c>
      <c r="AG309" s="25">
        <f t="shared" si="313"/>
        <v>0</v>
      </c>
      <c r="AH309" s="25">
        <f t="shared" si="314"/>
        <v>0</v>
      </c>
      <c r="AI309" s="11" t="s">
        <v>46</v>
      </c>
      <c r="AJ309" s="25">
        <f t="shared" si="315"/>
        <v>0</v>
      </c>
      <c r="AK309" s="25">
        <f t="shared" si="316"/>
        <v>0</v>
      </c>
      <c r="AL309" s="25">
        <f t="shared" si="317"/>
        <v>0</v>
      </c>
      <c r="AN309" s="25">
        <v>21</v>
      </c>
      <c r="AO309" s="25">
        <f t="shared" si="302"/>
        <v>0</v>
      </c>
      <c r="AP309" s="25">
        <f t="shared" si="303"/>
        <v>0</v>
      </c>
      <c r="AQ309" s="27" t="s">
        <v>76</v>
      </c>
      <c r="AV309" s="25">
        <f t="shared" si="318"/>
        <v>0</v>
      </c>
      <c r="AW309" s="25">
        <f t="shared" si="319"/>
        <v>0</v>
      </c>
      <c r="AX309" s="25">
        <f t="shared" si="320"/>
        <v>0</v>
      </c>
      <c r="AY309" s="27" t="s">
        <v>841</v>
      </c>
      <c r="AZ309" s="27" t="s">
        <v>585</v>
      </c>
      <c r="BA309" s="11" t="s">
        <v>56</v>
      </c>
      <c r="BC309" s="25">
        <f t="shared" si="321"/>
        <v>0</v>
      </c>
      <c r="BD309" s="25">
        <f t="shared" si="322"/>
        <v>0</v>
      </c>
      <c r="BE309" s="25">
        <v>0</v>
      </c>
      <c r="BF309" s="25">
        <f>309</f>
        <v>309</v>
      </c>
      <c r="BH309" s="25">
        <f t="shared" si="323"/>
        <v>0</v>
      </c>
      <c r="BI309" s="25">
        <f t="shared" si="324"/>
        <v>0</v>
      </c>
      <c r="BJ309" s="25">
        <f t="shared" si="325"/>
        <v>0</v>
      </c>
      <c r="BK309" s="27" t="s">
        <v>57</v>
      </c>
      <c r="BL309" s="25">
        <v>722</v>
      </c>
      <c r="BW309" s="25">
        <v>21</v>
      </c>
      <c r="BX309" s="5" t="s">
        <v>946</v>
      </c>
    </row>
    <row r="310" spans="1:76" x14ac:dyDescent="0.25">
      <c r="A310" s="2" t="s">
        <v>947</v>
      </c>
      <c r="B310" s="3" t="s">
        <v>948</v>
      </c>
      <c r="C310" s="93" t="s">
        <v>949</v>
      </c>
      <c r="D310" s="94"/>
      <c r="E310" s="3" t="s">
        <v>52</v>
      </c>
      <c r="F310" s="25">
        <v>25</v>
      </c>
      <c r="G310" s="25">
        <v>0</v>
      </c>
      <c r="H310" s="25">
        <f t="shared" si="304"/>
        <v>0</v>
      </c>
      <c r="I310" s="25">
        <f t="shared" si="305"/>
        <v>0</v>
      </c>
      <c r="J310" s="25">
        <f t="shared" si="306"/>
        <v>0</v>
      </c>
      <c r="K310" s="26" t="s">
        <v>53</v>
      </c>
      <c r="Z310" s="25">
        <f t="shared" si="307"/>
        <v>0</v>
      </c>
      <c r="AB310" s="25">
        <f t="shared" si="308"/>
        <v>0</v>
      </c>
      <c r="AC310" s="25">
        <f t="shared" si="309"/>
        <v>0</v>
      </c>
      <c r="AD310" s="25">
        <f t="shared" si="310"/>
        <v>0</v>
      </c>
      <c r="AE310" s="25">
        <f t="shared" si="311"/>
        <v>0</v>
      </c>
      <c r="AF310" s="25">
        <f t="shared" si="312"/>
        <v>0</v>
      </c>
      <c r="AG310" s="25">
        <f t="shared" si="313"/>
        <v>0</v>
      </c>
      <c r="AH310" s="25">
        <f t="shared" si="314"/>
        <v>0</v>
      </c>
      <c r="AI310" s="11" t="s">
        <v>46</v>
      </c>
      <c r="AJ310" s="25">
        <f t="shared" si="315"/>
        <v>0</v>
      </c>
      <c r="AK310" s="25">
        <f t="shared" si="316"/>
        <v>0</v>
      </c>
      <c r="AL310" s="25">
        <f t="shared" si="317"/>
        <v>0</v>
      </c>
      <c r="AN310" s="25">
        <v>21</v>
      </c>
      <c r="AO310" s="25">
        <f t="shared" si="302"/>
        <v>0</v>
      </c>
      <c r="AP310" s="25">
        <f t="shared" si="303"/>
        <v>0</v>
      </c>
      <c r="AQ310" s="27" t="s">
        <v>76</v>
      </c>
      <c r="AV310" s="25">
        <f t="shared" si="318"/>
        <v>0</v>
      </c>
      <c r="AW310" s="25">
        <f t="shared" si="319"/>
        <v>0</v>
      </c>
      <c r="AX310" s="25">
        <f t="shared" si="320"/>
        <v>0</v>
      </c>
      <c r="AY310" s="27" t="s">
        <v>841</v>
      </c>
      <c r="AZ310" s="27" t="s">
        <v>585</v>
      </c>
      <c r="BA310" s="11" t="s">
        <v>56</v>
      </c>
      <c r="BC310" s="25">
        <f t="shared" si="321"/>
        <v>0</v>
      </c>
      <c r="BD310" s="25">
        <f t="shared" si="322"/>
        <v>0</v>
      </c>
      <c r="BE310" s="25">
        <v>0</v>
      </c>
      <c r="BF310" s="25">
        <f>310</f>
        <v>310</v>
      </c>
      <c r="BH310" s="25">
        <f t="shared" si="323"/>
        <v>0</v>
      </c>
      <c r="BI310" s="25">
        <f t="shared" si="324"/>
        <v>0</v>
      </c>
      <c r="BJ310" s="25">
        <f t="shared" si="325"/>
        <v>0</v>
      </c>
      <c r="BK310" s="27" t="s">
        <v>57</v>
      </c>
      <c r="BL310" s="25">
        <v>722</v>
      </c>
      <c r="BW310" s="25">
        <v>21</v>
      </c>
      <c r="BX310" s="5" t="s">
        <v>949</v>
      </c>
    </row>
    <row r="311" spans="1:76" ht="25.5" x14ac:dyDescent="0.25">
      <c r="A311" s="2" t="s">
        <v>950</v>
      </c>
      <c r="B311" s="3" t="s">
        <v>951</v>
      </c>
      <c r="C311" s="93" t="s">
        <v>952</v>
      </c>
      <c r="D311" s="94"/>
      <c r="E311" s="3" t="s">
        <v>52</v>
      </c>
      <c r="F311" s="25">
        <v>2</v>
      </c>
      <c r="G311" s="25">
        <v>0</v>
      </c>
      <c r="H311" s="25">
        <f t="shared" si="304"/>
        <v>0</v>
      </c>
      <c r="I311" s="25">
        <f t="shared" si="305"/>
        <v>0</v>
      </c>
      <c r="J311" s="25">
        <f t="shared" si="306"/>
        <v>0</v>
      </c>
      <c r="K311" s="26" t="s">
        <v>53</v>
      </c>
      <c r="Z311" s="25">
        <f t="shared" si="307"/>
        <v>0</v>
      </c>
      <c r="AB311" s="25">
        <f t="shared" si="308"/>
        <v>0</v>
      </c>
      <c r="AC311" s="25">
        <f t="shared" si="309"/>
        <v>0</v>
      </c>
      <c r="AD311" s="25">
        <f t="shared" si="310"/>
        <v>0</v>
      </c>
      <c r="AE311" s="25">
        <f t="shared" si="311"/>
        <v>0</v>
      </c>
      <c r="AF311" s="25">
        <f t="shared" si="312"/>
        <v>0</v>
      </c>
      <c r="AG311" s="25">
        <f t="shared" si="313"/>
        <v>0</v>
      </c>
      <c r="AH311" s="25">
        <f t="shared" si="314"/>
        <v>0</v>
      </c>
      <c r="AI311" s="11" t="s">
        <v>46</v>
      </c>
      <c r="AJ311" s="25">
        <f t="shared" si="315"/>
        <v>0</v>
      </c>
      <c r="AK311" s="25">
        <f t="shared" si="316"/>
        <v>0</v>
      </c>
      <c r="AL311" s="25">
        <f t="shared" si="317"/>
        <v>0</v>
      </c>
      <c r="AN311" s="25">
        <v>21</v>
      </c>
      <c r="AO311" s="25">
        <f t="shared" si="302"/>
        <v>0</v>
      </c>
      <c r="AP311" s="25">
        <f t="shared" si="303"/>
        <v>0</v>
      </c>
      <c r="AQ311" s="27" t="s">
        <v>76</v>
      </c>
      <c r="AV311" s="25">
        <f t="shared" si="318"/>
        <v>0</v>
      </c>
      <c r="AW311" s="25">
        <f t="shared" si="319"/>
        <v>0</v>
      </c>
      <c r="AX311" s="25">
        <f t="shared" si="320"/>
        <v>0</v>
      </c>
      <c r="AY311" s="27" t="s">
        <v>841</v>
      </c>
      <c r="AZ311" s="27" t="s">
        <v>585</v>
      </c>
      <c r="BA311" s="11" t="s">
        <v>56</v>
      </c>
      <c r="BC311" s="25">
        <f t="shared" si="321"/>
        <v>0</v>
      </c>
      <c r="BD311" s="25">
        <f t="shared" si="322"/>
        <v>0</v>
      </c>
      <c r="BE311" s="25">
        <v>0</v>
      </c>
      <c r="BF311" s="25">
        <f>311</f>
        <v>311</v>
      </c>
      <c r="BH311" s="25">
        <f t="shared" si="323"/>
        <v>0</v>
      </c>
      <c r="BI311" s="25">
        <f t="shared" si="324"/>
        <v>0</v>
      </c>
      <c r="BJ311" s="25">
        <f t="shared" si="325"/>
        <v>0</v>
      </c>
      <c r="BK311" s="27" t="s">
        <v>57</v>
      </c>
      <c r="BL311" s="25">
        <v>722</v>
      </c>
      <c r="BW311" s="25">
        <v>21</v>
      </c>
      <c r="BX311" s="5" t="s">
        <v>952</v>
      </c>
    </row>
    <row r="312" spans="1:76" ht="25.5" x14ac:dyDescent="0.25">
      <c r="A312" s="2" t="s">
        <v>953</v>
      </c>
      <c r="B312" s="3" t="s">
        <v>954</v>
      </c>
      <c r="C312" s="93" t="s">
        <v>952</v>
      </c>
      <c r="D312" s="94"/>
      <c r="E312" s="3" t="s">
        <v>52</v>
      </c>
      <c r="F312" s="25">
        <v>2</v>
      </c>
      <c r="G312" s="25">
        <v>0</v>
      </c>
      <c r="H312" s="25">
        <f t="shared" si="304"/>
        <v>0</v>
      </c>
      <c r="I312" s="25">
        <f t="shared" si="305"/>
        <v>0</v>
      </c>
      <c r="J312" s="25">
        <f t="shared" si="306"/>
        <v>0</v>
      </c>
      <c r="K312" s="26" t="s">
        <v>53</v>
      </c>
      <c r="Z312" s="25">
        <f t="shared" si="307"/>
        <v>0</v>
      </c>
      <c r="AB312" s="25">
        <f t="shared" si="308"/>
        <v>0</v>
      </c>
      <c r="AC312" s="25">
        <f t="shared" si="309"/>
        <v>0</v>
      </c>
      <c r="AD312" s="25">
        <f t="shared" si="310"/>
        <v>0</v>
      </c>
      <c r="AE312" s="25">
        <f t="shared" si="311"/>
        <v>0</v>
      </c>
      <c r="AF312" s="25">
        <f t="shared" si="312"/>
        <v>0</v>
      </c>
      <c r="AG312" s="25">
        <f t="shared" si="313"/>
        <v>0</v>
      </c>
      <c r="AH312" s="25">
        <f t="shared" si="314"/>
        <v>0</v>
      </c>
      <c r="AI312" s="11" t="s">
        <v>46</v>
      </c>
      <c r="AJ312" s="25">
        <f t="shared" si="315"/>
        <v>0</v>
      </c>
      <c r="AK312" s="25">
        <f t="shared" si="316"/>
        <v>0</v>
      </c>
      <c r="AL312" s="25">
        <f t="shared" si="317"/>
        <v>0</v>
      </c>
      <c r="AN312" s="25">
        <v>21</v>
      </c>
      <c r="AO312" s="25">
        <f t="shared" si="302"/>
        <v>0</v>
      </c>
      <c r="AP312" s="25">
        <f t="shared" si="303"/>
        <v>0</v>
      </c>
      <c r="AQ312" s="27" t="s">
        <v>76</v>
      </c>
      <c r="AV312" s="25">
        <f t="shared" si="318"/>
        <v>0</v>
      </c>
      <c r="AW312" s="25">
        <f t="shared" si="319"/>
        <v>0</v>
      </c>
      <c r="AX312" s="25">
        <f t="shared" si="320"/>
        <v>0</v>
      </c>
      <c r="AY312" s="27" t="s">
        <v>841</v>
      </c>
      <c r="AZ312" s="27" t="s">
        <v>585</v>
      </c>
      <c r="BA312" s="11" t="s">
        <v>56</v>
      </c>
      <c r="BC312" s="25">
        <f t="shared" si="321"/>
        <v>0</v>
      </c>
      <c r="BD312" s="25">
        <f t="shared" si="322"/>
        <v>0</v>
      </c>
      <c r="BE312" s="25">
        <v>0</v>
      </c>
      <c r="BF312" s="25">
        <f>312</f>
        <v>312</v>
      </c>
      <c r="BH312" s="25">
        <f t="shared" si="323"/>
        <v>0</v>
      </c>
      <c r="BI312" s="25">
        <f t="shared" si="324"/>
        <v>0</v>
      </c>
      <c r="BJ312" s="25">
        <f t="shared" si="325"/>
        <v>0</v>
      </c>
      <c r="BK312" s="27" t="s">
        <v>57</v>
      </c>
      <c r="BL312" s="25">
        <v>722</v>
      </c>
      <c r="BW312" s="25">
        <v>21</v>
      </c>
      <c r="BX312" s="5" t="s">
        <v>952</v>
      </c>
    </row>
    <row r="313" spans="1:76" x14ac:dyDescent="0.25">
      <c r="A313" s="2" t="s">
        <v>955</v>
      </c>
      <c r="B313" s="3" t="s">
        <v>956</v>
      </c>
      <c r="C313" s="93" t="s">
        <v>957</v>
      </c>
      <c r="D313" s="94"/>
      <c r="E313" s="3" t="s">
        <v>52</v>
      </c>
      <c r="F313" s="25">
        <v>2</v>
      </c>
      <c r="G313" s="25">
        <v>0</v>
      </c>
      <c r="H313" s="25">
        <f t="shared" si="304"/>
        <v>0</v>
      </c>
      <c r="I313" s="25">
        <f t="shared" si="305"/>
        <v>0</v>
      </c>
      <c r="J313" s="25">
        <f t="shared" si="306"/>
        <v>0</v>
      </c>
      <c r="K313" s="26" t="s">
        <v>53</v>
      </c>
      <c r="Z313" s="25">
        <f t="shared" si="307"/>
        <v>0</v>
      </c>
      <c r="AB313" s="25">
        <f t="shared" si="308"/>
        <v>0</v>
      </c>
      <c r="AC313" s="25">
        <f t="shared" si="309"/>
        <v>0</v>
      </c>
      <c r="AD313" s="25">
        <f t="shared" si="310"/>
        <v>0</v>
      </c>
      <c r="AE313" s="25">
        <f t="shared" si="311"/>
        <v>0</v>
      </c>
      <c r="AF313" s="25">
        <f t="shared" si="312"/>
        <v>0</v>
      </c>
      <c r="AG313" s="25">
        <f t="shared" si="313"/>
        <v>0</v>
      </c>
      <c r="AH313" s="25">
        <f t="shared" si="314"/>
        <v>0</v>
      </c>
      <c r="AI313" s="11" t="s">
        <v>46</v>
      </c>
      <c r="AJ313" s="25">
        <f t="shared" si="315"/>
        <v>0</v>
      </c>
      <c r="AK313" s="25">
        <f t="shared" si="316"/>
        <v>0</v>
      </c>
      <c r="AL313" s="25">
        <f t="shared" si="317"/>
        <v>0</v>
      </c>
      <c r="AN313" s="25">
        <v>21</v>
      </c>
      <c r="AO313" s="25">
        <f t="shared" si="302"/>
        <v>0</v>
      </c>
      <c r="AP313" s="25">
        <f t="shared" si="303"/>
        <v>0</v>
      </c>
      <c r="AQ313" s="27" t="s">
        <v>76</v>
      </c>
      <c r="AV313" s="25">
        <f t="shared" si="318"/>
        <v>0</v>
      </c>
      <c r="AW313" s="25">
        <f t="shared" si="319"/>
        <v>0</v>
      </c>
      <c r="AX313" s="25">
        <f t="shared" si="320"/>
        <v>0</v>
      </c>
      <c r="AY313" s="27" t="s">
        <v>841</v>
      </c>
      <c r="AZ313" s="27" t="s">
        <v>585</v>
      </c>
      <c r="BA313" s="11" t="s">
        <v>56</v>
      </c>
      <c r="BC313" s="25">
        <f t="shared" si="321"/>
        <v>0</v>
      </c>
      <c r="BD313" s="25">
        <f t="shared" si="322"/>
        <v>0</v>
      </c>
      <c r="BE313" s="25">
        <v>0</v>
      </c>
      <c r="BF313" s="25">
        <f>313</f>
        <v>313</v>
      </c>
      <c r="BH313" s="25">
        <f t="shared" si="323"/>
        <v>0</v>
      </c>
      <c r="BI313" s="25">
        <f t="shared" si="324"/>
        <v>0</v>
      </c>
      <c r="BJ313" s="25">
        <f t="shared" si="325"/>
        <v>0</v>
      </c>
      <c r="BK313" s="27" t="s">
        <v>57</v>
      </c>
      <c r="BL313" s="25">
        <v>722</v>
      </c>
      <c r="BW313" s="25">
        <v>21</v>
      </c>
      <c r="BX313" s="5" t="s">
        <v>957</v>
      </c>
    </row>
    <row r="314" spans="1:76" x14ac:dyDescent="0.25">
      <c r="A314" s="2" t="s">
        <v>958</v>
      </c>
      <c r="B314" s="3" t="s">
        <v>959</v>
      </c>
      <c r="C314" s="93" t="s">
        <v>960</v>
      </c>
      <c r="D314" s="94"/>
      <c r="E314" s="3" t="s">
        <v>52</v>
      </c>
      <c r="F314" s="25">
        <v>3</v>
      </c>
      <c r="G314" s="25">
        <v>0</v>
      </c>
      <c r="H314" s="25">
        <f t="shared" si="304"/>
        <v>0</v>
      </c>
      <c r="I314" s="25">
        <f t="shared" si="305"/>
        <v>0</v>
      </c>
      <c r="J314" s="25">
        <f t="shared" si="306"/>
        <v>0</v>
      </c>
      <c r="K314" s="26" t="s">
        <v>53</v>
      </c>
      <c r="Z314" s="25">
        <f t="shared" si="307"/>
        <v>0</v>
      </c>
      <c r="AB314" s="25">
        <f t="shared" si="308"/>
        <v>0</v>
      </c>
      <c r="AC314" s="25">
        <f t="shared" si="309"/>
        <v>0</v>
      </c>
      <c r="AD314" s="25">
        <f t="shared" si="310"/>
        <v>0</v>
      </c>
      <c r="AE314" s="25">
        <f t="shared" si="311"/>
        <v>0</v>
      </c>
      <c r="AF314" s="25">
        <f t="shared" si="312"/>
        <v>0</v>
      </c>
      <c r="AG314" s="25">
        <f t="shared" si="313"/>
        <v>0</v>
      </c>
      <c r="AH314" s="25">
        <f t="shared" si="314"/>
        <v>0</v>
      </c>
      <c r="AI314" s="11" t="s">
        <v>46</v>
      </c>
      <c r="AJ314" s="25">
        <f t="shared" si="315"/>
        <v>0</v>
      </c>
      <c r="AK314" s="25">
        <f t="shared" si="316"/>
        <v>0</v>
      </c>
      <c r="AL314" s="25">
        <f t="shared" si="317"/>
        <v>0</v>
      </c>
      <c r="AN314" s="25">
        <v>21</v>
      </c>
      <c r="AO314" s="25">
        <f t="shared" si="302"/>
        <v>0</v>
      </c>
      <c r="AP314" s="25">
        <f t="shared" si="303"/>
        <v>0</v>
      </c>
      <c r="AQ314" s="27" t="s">
        <v>76</v>
      </c>
      <c r="AV314" s="25">
        <f t="shared" si="318"/>
        <v>0</v>
      </c>
      <c r="AW314" s="25">
        <f t="shared" si="319"/>
        <v>0</v>
      </c>
      <c r="AX314" s="25">
        <f t="shared" si="320"/>
        <v>0</v>
      </c>
      <c r="AY314" s="27" t="s">
        <v>841</v>
      </c>
      <c r="AZ314" s="27" t="s">
        <v>585</v>
      </c>
      <c r="BA314" s="11" t="s">
        <v>56</v>
      </c>
      <c r="BC314" s="25">
        <f t="shared" si="321"/>
        <v>0</v>
      </c>
      <c r="BD314" s="25">
        <f t="shared" si="322"/>
        <v>0</v>
      </c>
      <c r="BE314" s="25">
        <v>0</v>
      </c>
      <c r="BF314" s="25">
        <f>314</f>
        <v>314</v>
      </c>
      <c r="BH314" s="25">
        <f t="shared" si="323"/>
        <v>0</v>
      </c>
      <c r="BI314" s="25">
        <f t="shared" si="324"/>
        <v>0</v>
      </c>
      <c r="BJ314" s="25">
        <f t="shared" si="325"/>
        <v>0</v>
      </c>
      <c r="BK314" s="27" t="s">
        <v>57</v>
      </c>
      <c r="BL314" s="25">
        <v>722</v>
      </c>
      <c r="BW314" s="25">
        <v>21</v>
      </c>
      <c r="BX314" s="5" t="s">
        <v>960</v>
      </c>
    </row>
    <row r="315" spans="1:76" x14ac:dyDescent="0.25">
      <c r="A315" s="2" t="s">
        <v>961</v>
      </c>
      <c r="B315" s="3" t="s">
        <v>962</v>
      </c>
      <c r="C315" s="93" t="s">
        <v>963</v>
      </c>
      <c r="D315" s="94"/>
      <c r="E315" s="3" t="s">
        <v>52</v>
      </c>
      <c r="F315" s="25">
        <v>6</v>
      </c>
      <c r="G315" s="25">
        <v>0</v>
      </c>
      <c r="H315" s="25">
        <f t="shared" si="304"/>
        <v>0</v>
      </c>
      <c r="I315" s="25">
        <f t="shared" si="305"/>
        <v>0</v>
      </c>
      <c r="J315" s="25">
        <f t="shared" si="306"/>
        <v>0</v>
      </c>
      <c r="K315" s="26" t="s">
        <v>53</v>
      </c>
      <c r="Z315" s="25">
        <f t="shared" si="307"/>
        <v>0</v>
      </c>
      <c r="AB315" s="25">
        <f t="shared" si="308"/>
        <v>0</v>
      </c>
      <c r="AC315" s="25">
        <f t="shared" si="309"/>
        <v>0</v>
      </c>
      <c r="AD315" s="25">
        <f t="shared" si="310"/>
        <v>0</v>
      </c>
      <c r="AE315" s="25">
        <f t="shared" si="311"/>
        <v>0</v>
      </c>
      <c r="AF315" s="25">
        <f t="shared" si="312"/>
        <v>0</v>
      </c>
      <c r="AG315" s="25">
        <f t="shared" si="313"/>
        <v>0</v>
      </c>
      <c r="AH315" s="25">
        <f t="shared" si="314"/>
        <v>0</v>
      </c>
      <c r="AI315" s="11" t="s">
        <v>46</v>
      </c>
      <c r="AJ315" s="25">
        <f t="shared" si="315"/>
        <v>0</v>
      </c>
      <c r="AK315" s="25">
        <f t="shared" si="316"/>
        <v>0</v>
      </c>
      <c r="AL315" s="25">
        <f t="shared" si="317"/>
        <v>0</v>
      </c>
      <c r="AN315" s="25">
        <v>21</v>
      </c>
      <c r="AO315" s="25">
        <f t="shared" si="302"/>
        <v>0</v>
      </c>
      <c r="AP315" s="25">
        <f t="shared" si="303"/>
        <v>0</v>
      </c>
      <c r="AQ315" s="27" t="s">
        <v>76</v>
      </c>
      <c r="AV315" s="25">
        <f t="shared" si="318"/>
        <v>0</v>
      </c>
      <c r="AW315" s="25">
        <f t="shared" si="319"/>
        <v>0</v>
      </c>
      <c r="AX315" s="25">
        <f t="shared" si="320"/>
        <v>0</v>
      </c>
      <c r="AY315" s="27" t="s">
        <v>841</v>
      </c>
      <c r="AZ315" s="27" t="s">
        <v>585</v>
      </c>
      <c r="BA315" s="11" t="s">
        <v>56</v>
      </c>
      <c r="BC315" s="25">
        <f t="shared" si="321"/>
        <v>0</v>
      </c>
      <c r="BD315" s="25">
        <f t="shared" si="322"/>
        <v>0</v>
      </c>
      <c r="BE315" s="25">
        <v>0</v>
      </c>
      <c r="BF315" s="25">
        <f>315</f>
        <v>315</v>
      </c>
      <c r="BH315" s="25">
        <f t="shared" si="323"/>
        <v>0</v>
      </c>
      <c r="BI315" s="25">
        <f t="shared" si="324"/>
        <v>0</v>
      </c>
      <c r="BJ315" s="25">
        <f t="shared" si="325"/>
        <v>0</v>
      </c>
      <c r="BK315" s="27" t="s">
        <v>57</v>
      </c>
      <c r="BL315" s="25">
        <v>722</v>
      </c>
      <c r="BW315" s="25">
        <v>21</v>
      </c>
      <c r="BX315" s="5" t="s">
        <v>963</v>
      </c>
    </row>
    <row r="316" spans="1:76" ht="25.5" x14ac:dyDescent="0.25">
      <c r="A316" s="2" t="s">
        <v>964</v>
      </c>
      <c r="B316" s="3" t="s">
        <v>965</v>
      </c>
      <c r="C316" s="93" t="s">
        <v>966</v>
      </c>
      <c r="D316" s="94"/>
      <c r="E316" s="3" t="s">
        <v>52</v>
      </c>
      <c r="F316" s="25">
        <v>1</v>
      </c>
      <c r="G316" s="25">
        <v>0</v>
      </c>
      <c r="H316" s="25">
        <f t="shared" si="304"/>
        <v>0</v>
      </c>
      <c r="I316" s="25">
        <f t="shared" si="305"/>
        <v>0</v>
      </c>
      <c r="J316" s="25">
        <f t="shared" si="306"/>
        <v>0</v>
      </c>
      <c r="K316" s="26" t="s">
        <v>53</v>
      </c>
      <c r="Z316" s="25">
        <f t="shared" si="307"/>
        <v>0</v>
      </c>
      <c r="AB316" s="25">
        <f t="shared" si="308"/>
        <v>0</v>
      </c>
      <c r="AC316" s="25">
        <f t="shared" si="309"/>
        <v>0</v>
      </c>
      <c r="AD316" s="25">
        <f t="shared" si="310"/>
        <v>0</v>
      </c>
      <c r="AE316" s="25">
        <f t="shared" si="311"/>
        <v>0</v>
      </c>
      <c r="AF316" s="25">
        <f t="shared" si="312"/>
        <v>0</v>
      </c>
      <c r="AG316" s="25">
        <f t="shared" si="313"/>
        <v>0</v>
      </c>
      <c r="AH316" s="25">
        <f t="shared" si="314"/>
        <v>0</v>
      </c>
      <c r="AI316" s="11" t="s">
        <v>46</v>
      </c>
      <c r="AJ316" s="25">
        <f t="shared" si="315"/>
        <v>0</v>
      </c>
      <c r="AK316" s="25">
        <f t="shared" si="316"/>
        <v>0</v>
      </c>
      <c r="AL316" s="25">
        <f t="shared" si="317"/>
        <v>0</v>
      </c>
      <c r="AN316" s="25">
        <v>21</v>
      </c>
      <c r="AO316" s="25">
        <f t="shared" si="302"/>
        <v>0</v>
      </c>
      <c r="AP316" s="25">
        <f t="shared" si="303"/>
        <v>0</v>
      </c>
      <c r="AQ316" s="27" t="s">
        <v>76</v>
      </c>
      <c r="AV316" s="25">
        <f t="shared" si="318"/>
        <v>0</v>
      </c>
      <c r="AW316" s="25">
        <f t="shared" si="319"/>
        <v>0</v>
      </c>
      <c r="AX316" s="25">
        <f t="shared" si="320"/>
        <v>0</v>
      </c>
      <c r="AY316" s="27" t="s">
        <v>841</v>
      </c>
      <c r="AZ316" s="27" t="s">
        <v>585</v>
      </c>
      <c r="BA316" s="11" t="s">
        <v>56</v>
      </c>
      <c r="BC316" s="25">
        <f t="shared" si="321"/>
        <v>0</v>
      </c>
      <c r="BD316" s="25">
        <f t="shared" si="322"/>
        <v>0</v>
      </c>
      <c r="BE316" s="25">
        <v>0</v>
      </c>
      <c r="BF316" s="25">
        <f>316</f>
        <v>316</v>
      </c>
      <c r="BH316" s="25">
        <f t="shared" si="323"/>
        <v>0</v>
      </c>
      <c r="BI316" s="25">
        <f t="shared" si="324"/>
        <v>0</v>
      </c>
      <c r="BJ316" s="25">
        <f t="shared" si="325"/>
        <v>0</v>
      </c>
      <c r="BK316" s="27" t="s">
        <v>57</v>
      </c>
      <c r="BL316" s="25">
        <v>722</v>
      </c>
      <c r="BW316" s="25">
        <v>21</v>
      </c>
      <c r="BX316" s="5" t="s">
        <v>966</v>
      </c>
    </row>
    <row r="317" spans="1:76" x14ac:dyDescent="0.25">
      <c r="A317" s="2" t="s">
        <v>967</v>
      </c>
      <c r="B317" s="3" t="s">
        <v>968</v>
      </c>
      <c r="C317" s="93" t="s">
        <v>969</v>
      </c>
      <c r="D317" s="94"/>
      <c r="E317" s="3" t="s">
        <v>52</v>
      </c>
      <c r="F317" s="25">
        <v>1</v>
      </c>
      <c r="G317" s="25">
        <v>0</v>
      </c>
      <c r="H317" s="25">
        <f t="shared" si="304"/>
        <v>0</v>
      </c>
      <c r="I317" s="25">
        <f t="shared" si="305"/>
        <v>0</v>
      </c>
      <c r="J317" s="25">
        <f t="shared" si="306"/>
        <v>0</v>
      </c>
      <c r="K317" s="26" t="s">
        <v>53</v>
      </c>
      <c r="Z317" s="25">
        <f t="shared" si="307"/>
        <v>0</v>
      </c>
      <c r="AB317" s="25">
        <f t="shared" si="308"/>
        <v>0</v>
      </c>
      <c r="AC317" s="25">
        <f t="shared" si="309"/>
        <v>0</v>
      </c>
      <c r="AD317" s="25">
        <f t="shared" si="310"/>
        <v>0</v>
      </c>
      <c r="AE317" s="25">
        <f t="shared" si="311"/>
        <v>0</v>
      </c>
      <c r="AF317" s="25">
        <f t="shared" si="312"/>
        <v>0</v>
      </c>
      <c r="AG317" s="25">
        <f t="shared" si="313"/>
        <v>0</v>
      </c>
      <c r="AH317" s="25">
        <f t="shared" si="314"/>
        <v>0</v>
      </c>
      <c r="AI317" s="11" t="s">
        <v>46</v>
      </c>
      <c r="AJ317" s="25">
        <f t="shared" si="315"/>
        <v>0</v>
      </c>
      <c r="AK317" s="25">
        <f t="shared" si="316"/>
        <v>0</v>
      </c>
      <c r="AL317" s="25">
        <f t="shared" si="317"/>
        <v>0</v>
      </c>
      <c r="AN317" s="25">
        <v>21</v>
      </c>
      <c r="AO317" s="25">
        <f t="shared" si="302"/>
        <v>0</v>
      </c>
      <c r="AP317" s="25">
        <f t="shared" si="303"/>
        <v>0</v>
      </c>
      <c r="AQ317" s="27" t="s">
        <v>76</v>
      </c>
      <c r="AV317" s="25">
        <f t="shared" si="318"/>
        <v>0</v>
      </c>
      <c r="AW317" s="25">
        <f t="shared" si="319"/>
        <v>0</v>
      </c>
      <c r="AX317" s="25">
        <f t="shared" si="320"/>
        <v>0</v>
      </c>
      <c r="AY317" s="27" t="s">
        <v>841</v>
      </c>
      <c r="AZ317" s="27" t="s">
        <v>585</v>
      </c>
      <c r="BA317" s="11" t="s">
        <v>56</v>
      </c>
      <c r="BC317" s="25">
        <f t="shared" si="321"/>
        <v>0</v>
      </c>
      <c r="BD317" s="25">
        <f t="shared" si="322"/>
        <v>0</v>
      </c>
      <c r="BE317" s="25">
        <v>0</v>
      </c>
      <c r="BF317" s="25">
        <f>317</f>
        <v>317</v>
      </c>
      <c r="BH317" s="25">
        <f t="shared" si="323"/>
        <v>0</v>
      </c>
      <c r="BI317" s="25">
        <f t="shared" si="324"/>
        <v>0</v>
      </c>
      <c r="BJ317" s="25">
        <f t="shared" si="325"/>
        <v>0</v>
      </c>
      <c r="BK317" s="27" t="s">
        <v>57</v>
      </c>
      <c r="BL317" s="25">
        <v>722</v>
      </c>
      <c r="BW317" s="25">
        <v>21</v>
      </c>
      <c r="BX317" s="5" t="s">
        <v>969</v>
      </c>
    </row>
    <row r="318" spans="1:76" x14ac:dyDescent="0.25">
      <c r="A318" s="2" t="s">
        <v>970</v>
      </c>
      <c r="B318" s="3" t="s">
        <v>971</v>
      </c>
      <c r="C318" s="93" t="s">
        <v>972</v>
      </c>
      <c r="D318" s="94"/>
      <c r="E318" s="3" t="s">
        <v>52</v>
      </c>
      <c r="F318" s="25">
        <v>2</v>
      </c>
      <c r="G318" s="25">
        <v>0</v>
      </c>
      <c r="H318" s="25">
        <f t="shared" si="304"/>
        <v>0</v>
      </c>
      <c r="I318" s="25">
        <f t="shared" si="305"/>
        <v>0</v>
      </c>
      <c r="J318" s="25">
        <f t="shared" si="306"/>
        <v>0</v>
      </c>
      <c r="K318" s="26" t="s">
        <v>53</v>
      </c>
      <c r="Z318" s="25">
        <f t="shared" si="307"/>
        <v>0</v>
      </c>
      <c r="AB318" s="25">
        <f t="shared" si="308"/>
        <v>0</v>
      </c>
      <c r="AC318" s="25">
        <f t="shared" si="309"/>
        <v>0</v>
      </c>
      <c r="AD318" s="25">
        <f t="shared" si="310"/>
        <v>0</v>
      </c>
      <c r="AE318" s="25">
        <f t="shared" si="311"/>
        <v>0</v>
      </c>
      <c r="AF318" s="25">
        <f t="shared" si="312"/>
        <v>0</v>
      </c>
      <c r="AG318" s="25">
        <f t="shared" si="313"/>
        <v>0</v>
      </c>
      <c r="AH318" s="25">
        <f t="shared" si="314"/>
        <v>0</v>
      </c>
      <c r="AI318" s="11" t="s">
        <v>46</v>
      </c>
      <c r="AJ318" s="25">
        <f t="shared" si="315"/>
        <v>0</v>
      </c>
      <c r="AK318" s="25">
        <f t="shared" si="316"/>
        <v>0</v>
      </c>
      <c r="AL318" s="25">
        <f t="shared" si="317"/>
        <v>0</v>
      </c>
      <c r="AN318" s="25">
        <v>21</v>
      </c>
      <c r="AO318" s="25">
        <f t="shared" si="302"/>
        <v>0</v>
      </c>
      <c r="AP318" s="25">
        <f t="shared" si="303"/>
        <v>0</v>
      </c>
      <c r="AQ318" s="27" t="s">
        <v>76</v>
      </c>
      <c r="AV318" s="25">
        <f t="shared" si="318"/>
        <v>0</v>
      </c>
      <c r="AW318" s="25">
        <f t="shared" si="319"/>
        <v>0</v>
      </c>
      <c r="AX318" s="25">
        <f t="shared" si="320"/>
        <v>0</v>
      </c>
      <c r="AY318" s="27" t="s">
        <v>841</v>
      </c>
      <c r="AZ318" s="27" t="s">
        <v>585</v>
      </c>
      <c r="BA318" s="11" t="s">
        <v>56</v>
      </c>
      <c r="BC318" s="25">
        <f t="shared" si="321"/>
        <v>0</v>
      </c>
      <c r="BD318" s="25">
        <f t="shared" si="322"/>
        <v>0</v>
      </c>
      <c r="BE318" s="25">
        <v>0</v>
      </c>
      <c r="BF318" s="25">
        <f>318</f>
        <v>318</v>
      </c>
      <c r="BH318" s="25">
        <f t="shared" si="323"/>
        <v>0</v>
      </c>
      <c r="BI318" s="25">
        <f t="shared" si="324"/>
        <v>0</v>
      </c>
      <c r="BJ318" s="25">
        <f t="shared" si="325"/>
        <v>0</v>
      </c>
      <c r="BK318" s="27" t="s">
        <v>57</v>
      </c>
      <c r="BL318" s="25">
        <v>722</v>
      </c>
      <c r="BW318" s="25">
        <v>21</v>
      </c>
      <c r="BX318" s="5" t="s">
        <v>972</v>
      </c>
    </row>
    <row r="319" spans="1:76" x14ac:dyDescent="0.25">
      <c r="A319" s="2" t="s">
        <v>973</v>
      </c>
      <c r="B319" s="3" t="s">
        <v>974</v>
      </c>
      <c r="C319" s="93" t="s">
        <v>975</v>
      </c>
      <c r="D319" s="94"/>
      <c r="E319" s="3" t="s">
        <v>52</v>
      </c>
      <c r="F319" s="25">
        <v>6</v>
      </c>
      <c r="G319" s="25">
        <v>0</v>
      </c>
      <c r="H319" s="25">
        <f t="shared" si="304"/>
        <v>0</v>
      </c>
      <c r="I319" s="25">
        <f t="shared" si="305"/>
        <v>0</v>
      </c>
      <c r="J319" s="25">
        <f t="shared" si="306"/>
        <v>0</v>
      </c>
      <c r="K319" s="26" t="s">
        <v>53</v>
      </c>
      <c r="Z319" s="25">
        <f t="shared" si="307"/>
        <v>0</v>
      </c>
      <c r="AB319" s="25">
        <f t="shared" si="308"/>
        <v>0</v>
      </c>
      <c r="AC319" s="25">
        <f t="shared" si="309"/>
        <v>0</v>
      </c>
      <c r="AD319" s="25">
        <f t="shared" si="310"/>
        <v>0</v>
      </c>
      <c r="AE319" s="25">
        <f t="shared" si="311"/>
        <v>0</v>
      </c>
      <c r="AF319" s="25">
        <f t="shared" si="312"/>
        <v>0</v>
      </c>
      <c r="AG319" s="25">
        <f t="shared" si="313"/>
        <v>0</v>
      </c>
      <c r="AH319" s="25">
        <f t="shared" si="314"/>
        <v>0</v>
      </c>
      <c r="AI319" s="11" t="s">
        <v>46</v>
      </c>
      <c r="AJ319" s="25">
        <f t="shared" si="315"/>
        <v>0</v>
      </c>
      <c r="AK319" s="25">
        <f t="shared" si="316"/>
        <v>0</v>
      </c>
      <c r="AL319" s="25">
        <f t="shared" si="317"/>
        <v>0</v>
      </c>
      <c r="AN319" s="25">
        <v>21</v>
      </c>
      <c r="AO319" s="25">
        <f t="shared" si="302"/>
        <v>0</v>
      </c>
      <c r="AP319" s="25">
        <f t="shared" si="303"/>
        <v>0</v>
      </c>
      <c r="AQ319" s="27" t="s">
        <v>76</v>
      </c>
      <c r="AV319" s="25">
        <f t="shared" si="318"/>
        <v>0</v>
      </c>
      <c r="AW319" s="25">
        <f t="shared" si="319"/>
        <v>0</v>
      </c>
      <c r="AX319" s="25">
        <f t="shared" si="320"/>
        <v>0</v>
      </c>
      <c r="AY319" s="27" t="s">
        <v>841</v>
      </c>
      <c r="AZ319" s="27" t="s">
        <v>585</v>
      </c>
      <c r="BA319" s="11" t="s">
        <v>56</v>
      </c>
      <c r="BC319" s="25">
        <f t="shared" si="321"/>
        <v>0</v>
      </c>
      <c r="BD319" s="25">
        <f t="shared" si="322"/>
        <v>0</v>
      </c>
      <c r="BE319" s="25">
        <v>0</v>
      </c>
      <c r="BF319" s="25">
        <f>319</f>
        <v>319</v>
      </c>
      <c r="BH319" s="25">
        <f t="shared" si="323"/>
        <v>0</v>
      </c>
      <c r="BI319" s="25">
        <f t="shared" si="324"/>
        <v>0</v>
      </c>
      <c r="BJ319" s="25">
        <f t="shared" si="325"/>
        <v>0</v>
      </c>
      <c r="BK319" s="27" t="s">
        <v>57</v>
      </c>
      <c r="BL319" s="25">
        <v>722</v>
      </c>
      <c r="BW319" s="25">
        <v>21</v>
      </c>
      <c r="BX319" s="5" t="s">
        <v>975</v>
      </c>
    </row>
    <row r="320" spans="1:76" x14ac:dyDescent="0.25">
      <c r="A320" s="2" t="s">
        <v>976</v>
      </c>
      <c r="B320" s="3" t="s">
        <v>977</v>
      </c>
      <c r="C320" s="93" t="s">
        <v>978</v>
      </c>
      <c r="D320" s="94"/>
      <c r="E320" s="3" t="s">
        <v>52</v>
      </c>
      <c r="F320" s="25">
        <v>10</v>
      </c>
      <c r="G320" s="25">
        <v>0</v>
      </c>
      <c r="H320" s="25">
        <f t="shared" si="304"/>
        <v>0</v>
      </c>
      <c r="I320" s="25">
        <f t="shared" si="305"/>
        <v>0</v>
      </c>
      <c r="J320" s="25">
        <f t="shared" si="306"/>
        <v>0</v>
      </c>
      <c r="K320" s="26" t="s">
        <v>53</v>
      </c>
      <c r="Z320" s="25">
        <f t="shared" si="307"/>
        <v>0</v>
      </c>
      <c r="AB320" s="25">
        <f t="shared" si="308"/>
        <v>0</v>
      </c>
      <c r="AC320" s="25">
        <f t="shared" si="309"/>
        <v>0</v>
      </c>
      <c r="AD320" s="25">
        <f t="shared" si="310"/>
        <v>0</v>
      </c>
      <c r="AE320" s="25">
        <f t="shared" si="311"/>
        <v>0</v>
      </c>
      <c r="AF320" s="25">
        <f t="shared" si="312"/>
        <v>0</v>
      </c>
      <c r="AG320" s="25">
        <f t="shared" si="313"/>
        <v>0</v>
      </c>
      <c r="AH320" s="25">
        <f t="shared" si="314"/>
        <v>0</v>
      </c>
      <c r="AI320" s="11" t="s">
        <v>46</v>
      </c>
      <c r="AJ320" s="25">
        <f t="shared" si="315"/>
        <v>0</v>
      </c>
      <c r="AK320" s="25">
        <f t="shared" si="316"/>
        <v>0</v>
      </c>
      <c r="AL320" s="25">
        <f t="shared" si="317"/>
        <v>0</v>
      </c>
      <c r="AN320" s="25">
        <v>21</v>
      </c>
      <c r="AO320" s="25">
        <f t="shared" si="302"/>
        <v>0</v>
      </c>
      <c r="AP320" s="25">
        <f t="shared" si="303"/>
        <v>0</v>
      </c>
      <c r="AQ320" s="27" t="s">
        <v>76</v>
      </c>
      <c r="AV320" s="25">
        <f t="shared" si="318"/>
        <v>0</v>
      </c>
      <c r="AW320" s="25">
        <f t="shared" si="319"/>
        <v>0</v>
      </c>
      <c r="AX320" s="25">
        <f t="shared" si="320"/>
        <v>0</v>
      </c>
      <c r="AY320" s="27" t="s">
        <v>841</v>
      </c>
      <c r="AZ320" s="27" t="s">
        <v>585</v>
      </c>
      <c r="BA320" s="11" t="s">
        <v>56</v>
      </c>
      <c r="BC320" s="25">
        <f t="shared" si="321"/>
        <v>0</v>
      </c>
      <c r="BD320" s="25">
        <f t="shared" si="322"/>
        <v>0</v>
      </c>
      <c r="BE320" s="25">
        <v>0</v>
      </c>
      <c r="BF320" s="25">
        <f>320</f>
        <v>320</v>
      </c>
      <c r="BH320" s="25">
        <f t="shared" si="323"/>
        <v>0</v>
      </c>
      <c r="BI320" s="25">
        <f t="shared" si="324"/>
        <v>0</v>
      </c>
      <c r="BJ320" s="25">
        <f t="shared" si="325"/>
        <v>0</v>
      </c>
      <c r="BK320" s="27" t="s">
        <v>57</v>
      </c>
      <c r="BL320" s="25">
        <v>722</v>
      </c>
      <c r="BW320" s="25">
        <v>21</v>
      </c>
      <c r="BX320" s="5" t="s">
        <v>978</v>
      </c>
    </row>
    <row r="321" spans="1:76" ht="25.5" x14ac:dyDescent="0.25">
      <c r="A321" s="2" t="s">
        <v>979</v>
      </c>
      <c r="B321" s="3" t="s">
        <v>980</v>
      </c>
      <c r="C321" s="93" t="s">
        <v>981</v>
      </c>
      <c r="D321" s="94"/>
      <c r="E321" s="3" t="s">
        <v>52</v>
      </c>
      <c r="F321" s="25">
        <v>7</v>
      </c>
      <c r="G321" s="25">
        <v>0</v>
      </c>
      <c r="H321" s="25">
        <f t="shared" si="304"/>
        <v>0</v>
      </c>
      <c r="I321" s="25">
        <f t="shared" si="305"/>
        <v>0</v>
      </c>
      <c r="J321" s="25">
        <f t="shared" si="306"/>
        <v>0</v>
      </c>
      <c r="K321" s="26" t="s">
        <v>53</v>
      </c>
      <c r="Z321" s="25">
        <f t="shared" si="307"/>
        <v>0</v>
      </c>
      <c r="AB321" s="25">
        <f t="shared" si="308"/>
        <v>0</v>
      </c>
      <c r="AC321" s="25">
        <f t="shared" si="309"/>
        <v>0</v>
      </c>
      <c r="AD321" s="25">
        <f t="shared" si="310"/>
        <v>0</v>
      </c>
      <c r="AE321" s="25">
        <f t="shared" si="311"/>
        <v>0</v>
      </c>
      <c r="AF321" s="25">
        <f t="shared" si="312"/>
        <v>0</v>
      </c>
      <c r="AG321" s="25">
        <f t="shared" si="313"/>
        <v>0</v>
      </c>
      <c r="AH321" s="25">
        <f t="shared" si="314"/>
        <v>0</v>
      </c>
      <c r="AI321" s="11" t="s">
        <v>46</v>
      </c>
      <c r="AJ321" s="25">
        <f t="shared" si="315"/>
        <v>0</v>
      </c>
      <c r="AK321" s="25">
        <f t="shared" si="316"/>
        <v>0</v>
      </c>
      <c r="AL321" s="25">
        <f t="shared" si="317"/>
        <v>0</v>
      </c>
      <c r="AN321" s="25">
        <v>21</v>
      </c>
      <c r="AO321" s="25">
        <f t="shared" ref="AO321:AO336" si="326">G321*0</f>
        <v>0</v>
      </c>
      <c r="AP321" s="25">
        <f t="shared" ref="AP321:AP336" si="327">G321*(1-0)</f>
        <v>0</v>
      </c>
      <c r="AQ321" s="27" t="s">
        <v>76</v>
      </c>
      <c r="AV321" s="25">
        <f t="shared" si="318"/>
        <v>0</v>
      </c>
      <c r="AW321" s="25">
        <f t="shared" si="319"/>
        <v>0</v>
      </c>
      <c r="AX321" s="25">
        <f t="shared" si="320"/>
        <v>0</v>
      </c>
      <c r="AY321" s="27" t="s">
        <v>841</v>
      </c>
      <c r="AZ321" s="27" t="s">
        <v>585</v>
      </c>
      <c r="BA321" s="11" t="s">
        <v>56</v>
      </c>
      <c r="BC321" s="25">
        <f t="shared" si="321"/>
        <v>0</v>
      </c>
      <c r="BD321" s="25">
        <f t="shared" si="322"/>
        <v>0</v>
      </c>
      <c r="BE321" s="25">
        <v>0</v>
      </c>
      <c r="BF321" s="25">
        <f>321</f>
        <v>321</v>
      </c>
      <c r="BH321" s="25">
        <f t="shared" si="323"/>
        <v>0</v>
      </c>
      <c r="BI321" s="25">
        <f t="shared" si="324"/>
        <v>0</v>
      </c>
      <c r="BJ321" s="25">
        <f t="shared" si="325"/>
        <v>0</v>
      </c>
      <c r="BK321" s="27" t="s">
        <v>57</v>
      </c>
      <c r="BL321" s="25">
        <v>722</v>
      </c>
      <c r="BW321" s="25">
        <v>21</v>
      </c>
      <c r="BX321" s="5" t="s">
        <v>981</v>
      </c>
    </row>
    <row r="322" spans="1:76" ht="25.5" x14ac:dyDescent="0.25">
      <c r="A322" s="2" t="s">
        <v>982</v>
      </c>
      <c r="B322" s="3" t="s">
        <v>983</v>
      </c>
      <c r="C322" s="93" t="s">
        <v>984</v>
      </c>
      <c r="D322" s="94"/>
      <c r="E322" s="3" t="s">
        <v>52</v>
      </c>
      <c r="F322" s="25">
        <v>5</v>
      </c>
      <c r="G322" s="25">
        <v>0</v>
      </c>
      <c r="H322" s="25">
        <f t="shared" si="304"/>
        <v>0</v>
      </c>
      <c r="I322" s="25">
        <f t="shared" si="305"/>
        <v>0</v>
      </c>
      <c r="J322" s="25">
        <f t="shared" si="306"/>
        <v>0</v>
      </c>
      <c r="K322" s="26" t="s">
        <v>53</v>
      </c>
      <c r="Z322" s="25">
        <f t="shared" si="307"/>
        <v>0</v>
      </c>
      <c r="AB322" s="25">
        <f t="shared" si="308"/>
        <v>0</v>
      </c>
      <c r="AC322" s="25">
        <f t="shared" si="309"/>
        <v>0</v>
      </c>
      <c r="AD322" s="25">
        <f t="shared" si="310"/>
        <v>0</v>
      </c>
      <c r="AE322" s="25">
        <f t="shared" si="311"/>
        <v>0</v>
      </c>
      <c r="AF322" s="25">
        <f t="shared" si="312"/>
        <v>0</v>
      </c>
      <c r="AG322" s="25">
        <f t="shared" si="313"/>
        <v>0</v>
      </c>
      <c r="AH322" s="25">
        <f t="shared" si="314"/>
        <v>0</v>
      </c>
      <c r="AI322" s="11" t="s">
        <v>46</v>
      </c>
      <c r="AJ322" s="25">
        <f t="shared" si="315"/>
        <v>0</v>
      </c>
      <c r="AK322" s="25">
        <f t="shared" si="316"/>
        <v>0</v>
      </c>
      <c r="AL322" s="25">
        <f t="shared" si="317"/>
        <v>0</v>
      </c>
      <c r="AN322" s="25">
        <v>21</v>
      </c>
      <c r="AO322" s="25">
        <f t="shared" si="326"/>
        <v>0</v>
      </c>
      <c r="AP322" s="25">
        <f t="shared" si="327"/>
        <v>0</v>
      </c>
      <c r="AQ322" s="27" t="s">
        <v>76</v>
      </c>
      <c r="AV322" s="25">
        <f t="shared" si="318"/>
        <v>0</v>
      </c>
      <c r="AW322" s="25">
        <f t="shared" si="319"/>
        <v>0</v>
      </c>
      <c r="AX322" s="25">
        <f t="shared" si="320"/>
        <v>0</v>
      </c>
      <c r="AY322" s="27" t="s">
        <v>841</v>
      </c>
      <c r="AZ322" s="27" t="s">
        <v>585</v>
      </c>
      <c r="BA322" s="11" t="s">
        <v>56</v>
      </c>
      <c r="BC322" s="25">
        <f t="shared" si="321"/>
        <v>0</v>
      </c>
      <c r="BD322" s="25">
        <f t="shared" si="322"/>
        <v>0</v>
      </c>
      <c r="BE322" s="25">
        <v>0</v>
      </c>
      <c r="BF322" s="25">
        <f>322</f>
        <v>322</v>
      </c>
      <c r="BH322" s="25">
        <f t="shared" si="323"/>
        <v>0</v>
      </c>
      <c r="BI322" s="25">
        <f t="shared" si="324"/>
        <v>0</v>
      </c>
      <c r="BJ322" s="25">
        <f t="shared" si="325"/>
        <v>0</v>
      </c>
      <c r="BK322" s="27" t="s">
        <v>57</v>
      </c>
      <c r="BL322" s="25">
        <v>722</v>
      </c>
      <c r="BW322" s="25">
        <v>21</v>
      </c>
      <c r="BX322" s="5" t="s">
        <v>984</v>
      </c>
    </row>
    <row r="323" spans="1:76" ht="25.5" x14ac:dyDescent="0.25">
      <c r="A323" s="2" t="s">
        <v>985</v>
      </c>
      <c r="B323" s="3" t="s">
        <v>986</v>
      </c>
      <c r="C323" s="93" t="s">
        <v>987</v>
      </c>
      <c r="D323" s="94"/>
      <c r="E323" s="3" t="s">
        <v>131</v>
      </c>
      <c r="F323" s="25">
        <v>10</v>
      </c>
      <c r="G323" s="25">
        <v>0</v>
      </c>
      <c r="H323" s="25">
        <f t="shared" si="304"/>
        <v>0</v>
      </c>
      <c r="I323" s="25">
        <f t="shared" si="305"/>
        <v>0</v>
      </c>
      <c r="J323" s="25">
        <f t="shared" si="306"/>
        <v>0</v>
      </c>
      <c r="K323" s="26" t="s">
        <v>53</v>
      </c>
      <c r="Z323" s="25">
        <f t="shared" si="307"/>
        <v>0</v>
      </c>
      <c r="AB323" s="25">
        <f t="shared" si="308"/>
        <v>0</v>
      </c>
      <c r="AC323" s="25">
        <f t="shared" si="309"/>
        <v>0</v>
      </c>
      <c r="AD323" s="25">
        <f t="shared" si="310"/>
        <v>0</v>
      </c>
      <c r="AE323" s="25">
        <f t="shared" si="311"/>
        <v>0</v>
      </c>
      <c r="AF323" s="25">
        <f t="shared" si="312"/>
        <v>0</v>
      </c>
      <c r="AG323" s="25">
        <f t="shared" si="313"/>
        <v>0</v>
      </c>
      <c r="AH323" s="25">
        <f t="shared" si="314"/>
        <v>0</v>
      </c>
      <c r="AI323" s="11" t="s">
        <v>46</v>
      </c>
      <c r="AJ323" s="25">
        <f t="shared" si="315"/>
        <v>0</v>
      </c>
      <c r="AK323" s="25">
        <f t="shared" si="316"/>
        <v>0</v>
      </c>
      <c r="AL323" s="25">
        <f t="shared" si="317"/>
        <v>0</v>
      </c>
      <c r="AN323" s="25">
        <v>21</v>
      </c>
      <c r="AO323" s="25">
        <f t="shared" si="326"/>
        <v>0</v>
      </c>
      <c r="AP323" s="25">
        <f t="shared" si="327"/>
        <v>0</v>
      </c>
      <c r="AQ323" s="27" t="s">
        <v>76</v>
      </c>
      <c r="AV323" s="25">
        <f t="shared" si="318"/>
        <v>0</v>
      </c>
      <c r="AW323" s="25">
        <f t="shared" si="319"/>
        <v>0</v>
      </c>
      <c r="AX323" s="25">
        <f t="shared" si="320"/>
        <v>0</v>
      </c>
      <c r="AY323" s="27" t="s">
        <v>841</v>
      </c>
      <c r="AZ323" s="27" t="s">
        <v>585</v>
      </c>
      <c r="BA323" s="11" t="s">
        <v>56</v>
      </c>
      <c r="BC323" s="25">
        <f t="shared" si="321"/>
        <v>0</v>
      </c>
      <c r="BD323" s="25">
        <f t="shared" si="322"/>
        <v>0</v>
      </c>
      <c r="BE323" s="25">
        <v>0</v>
      </c>
      <c r="BF323" s="25">
        <f>323</f>
        <v>323</v>
      </c>
      <c r="BH323" s="25">
        <f t="shared" si="323"/>
        <v>0</v>
      </c>
      <c r="BI323" s="25">
        <f t="shared" si="324"/>
        <v>0</v>
      </c>
      <c r="BJ323" s="25">
        <f t="shared" si="325"/>
        <v>0</v>
      </c>
      <c r="BK323" s="27" t="s">
        <v>57</v>
      </c>
      <c r="BL323" s="25">
        <v>722</v>
      </c>
      <c r="BW323" s="25">
        <v>21</v>
      </c>
      <c r="BX323" s="5" t="s">
        <v>987</v>
      </c>
    </row>
    <row r="324" spans="1:76" x14ac:dyDescent="0.25">
      <c r="A324" s="2" t="s">
        <v>988</v>
      </c>
      <c r="B324" s="3" t="s">
        <v>989</v>
      </c>
      <c r="C324" s="93" t="s">
        <v>795</v>
      </c>
      <c r="D324" s="94"/>
      <c r="E324" s="3" t="s">
        <v>796</v>
      </c>
      <c r="F324" s="25">
        <v>100</v>
      </c>
      <c r="G324" s="25">
        <v>0</v>
      </c>
      <c r="H324" s="25">
        <f t="shared" si="304"/>
        <v>0</v>
      </c>
      <c r="I324" s="25">
        <f t="shared" si="305"/>
        <v>0</v>
      </c>
      <c r="J324" s="25">
        <f t="shared" si="306"/>
        <v>0</v>
      </c>
      <c r="K324" s="26" t="s">
        <v>53</v>
      </c>
      <c r="Z324" s="25">
        <f t="shared" si="307"/>
        <v>0</v>
      </c>
      <c r="AB324" s="25">
        <f t="shared" si="308"/>
        <v>0</v>
      </c>
      <c r="AC324" s="25">
        <f t="shared" si="309"/>
        <v>0</v>
      </c>
      <c r="AD324" s="25">
        <f t="shared" si="310"/>
        <v>0</v>
      </c>
      <c r="AE324" s="25">
        <f t="shared" si="311"/>
        <v>0</v>
      </c>
      <c r="AF324" s="25">
        <f t="shared" si="312"/>
        <v>0</v>
      </c>
      <c r="AG324" s="25">
        <f t="shared" si="313"/>
        <v>0</v>
      </c>
      <c r="AH324" s="25">
        <f t="shared" si="314"/>
        <v>0</v>
      </c>
      <c r="AI324" s="11" t="s">
        <v>46</v>
      </c>
      <c r="AJ324" s="25">
        <f t="shared" si="315"/>
        <v>0</v>
      </c>
      <c r="AK324" s="25">
        <f t="shared" si="316"/>
        <v>0</v>
      </c>
      <c r="AL324" s="25">
        <f t="shared" si="317"/>
        <v>0</v>
      </c>
      <c r="AN324" s="25">
        <v>21</v>
      </c>
      <c r="AO324" s="25">
        <f t="shared" si="326"/>
        <v>0</v>
      </c>
      <c r="AP324" s="25">
        <f t="shared" si="327"/>
        <v>0</v>
      </c>
      <c r="AQ324" s="27" t="s">
        <v>76</v>
      </c>
      <c r="AV324" s="25">
        <f t="shared" si="318"/>
        <v>0</v>
      </c>
      <c r="AW324" s="25">
        <f t="shared" si="319"/>
        <v>0</v>
      </c>
      <c r="AX324" s="25">
        <f t="shared" si="320"/>
        <v>0</v>
      </c>
      <c r="AY324" s="27" t="s">
        <v>841</v>
      </c>
      <c r="AZ324" s="27" t="s">
        <v>585</v>
      </c>
      <c r="BA324" s="11" t="s">
        <v>56</v>
      </c>
      <c r="BC324" s="25">
        <f t="shared" si="321"/>
        <v>0</v>
      </c>
      <c r="BD324" s="25">
        <f t="shared" si="322"/>
        <v>0</v>
      </c>
      <c r="BE324" s="25">
        <v>0</v>
      </c>
      <c r="BF324" s="25">
        <f>324</f>
        <v>324</v>
      </c>
      <c r="BH324" s="25">
        <f t="shared" si="323"/>
        <v>0</v>
      </c>
      <c r="BI324" s="25">
        <f t="shared" si="324"/>
        <v>0</v>
      </c>
      <c r="BJ324" s="25">
        <f t="shared" si="325"/>
        <v>0</v>
      </c>
      <c r="BK324" s="27" t="s">
        <v>57</v>
      </c>
      <c r="BL324" s="25">
        <v>722</v>
      </c>
      <c r="BW324" s="25">
        <v>21</v>
      </c>
      <c r="BX324" s="5" t="s">
        <v>795</v>
      </c>
    </row>
    <row r="325" spans="1:76" x14ac:dyDescent="0.25">
      <c r="A325" s="2" t="s">
        <v>990</v>
      </c>
      <c r="B325" s="3" t="s">
        <v>991</v>
      </c>
      <c r="C325" s="93" t="s">
        <v>992</v>
      </c>
      <c r="D325" s="94"/>
      <c r="E325" s="3" t="s">
        <v>52</v>
      </c>
      <c r="F325" s="25">
        <v>1</v>
      </c>
      <c r="G325" s="25">
        <v>0</v>
      </c>
      <c r="H325" s="25">
        <f t="shared" si="304"/>
        <v>0</v>
      </c>
      <c r="I325" s="25">
        <f t="shared" si="305"/>
        <v>0</v>
      </c>
      <c r="J325" s="25">
        <f t="shared" si="306"/>
        <v>0</v>
      </c>
      <c r="K325" s="26" t="s">
        <v>53</v>
      </c>
      <c r="Z325" s="25">
        <f t="shared" si="307"/>
        <v>0</v>
      </c>
      <c r="AB325" s="25">
        <f t="shared" si="308"/>
        <v>0</v>
      </c>
      <c r="AC325" s="25">
        <f t="shared" si="309"/>
        <v>0</v>
      </c>
      <c r="AD325" s="25">
        <f t="shared" si="310"/>
        <v>0</v>
      </c>
      <c r="AE325" s="25">
        <f t="shared" si="311"/>
        <v>0</v>
      </c>
      <c r="AF325" s="25">
        <f t="shared" si="312"/>
        <v>0</v>
      </c>
      <c r="AG325" s="25">
        <f t="shared" si="313"/>
        <v>0</v>
      </c>
      <c r="AH325" s="25">
        <f t="shared" si="314"/>
        <v>0</v>
      </c>
      <c r="AI325" s="11" t="s">
        <v>46</v>
      </c>
      <c r="AJ325" s="25">
        <f t="shared" si="315"/>
        <v>0</v>
      </c>
      <c r="AK325" s="25">
        <f t="shared" si="316"/>
        <v>0</v>
      </c>
      <c r="AL325" s="25">
        <f t="shared" si="317"/>
        <v>0</v>
      </c>
      <c r="AN325" s="25">
        <v>21</v>
      </c>
      <c r="AO325" s="25">
        <f t="shared" si="326"/>
        <v>0</v>
      </c>
      <c r="AP325" s="25">
        <f t="shared" si="327"/>
        <v>0</v>
      </c>
      <c r="AQ325" s="27" t="s">
        <v>76</v>
      </c>
      <c r="AV325" s="25">
        <f t="shared" si="318"/>
        <v>0</v>
      </c>
      <c r="AW325" s="25">
        <f t="shared" si="319"/>
        <v>0</v>
      </c>
      <c r="AX325" s="25">
        <f t="shared" si="320"/>
        <v>0</v>
      </c>
      <c r="AY325" s="27" t="s">
        <v>841</v>
      </c>
      <c r="AZ325" s="27" t="s">
        <v>585</v>
      </c>
      <c r="BA325" s="11" t="s">
        <v>56</v>
      </c>
      <c r="BC325" s="25">
        <f t="shared" si="321"/>
        <v>0</v>
      </c>
      <c r="BD325" s="25">
        <f t="shared" si="322"/>
        <v>0</v>
      </c>
      <c r="BE325" s="25">
        <v>0</v>
      </c>
      <c r="BF325" s="25">
        <f>325</f>
        <v>325</v>
      </c>
      <c r="BH325" s="25">
        <f t="shared" si="323"/>
        <v>0</v>
      </c>
      <c r="BI325" s="25">
        <f t="shared" si="324"/>
        <v>0</v>
      </c>
      <c r="BJ325" s="25">
        <f t="shared" si="325"/>
        <v>0</v>
      </c>
      <c r="BK325" s="27" t="s">
        <v>57</v>
      </c>
      <c r="BL325" s="25">
        <v>722</v>
      </c>
      <c r="BW325" s="25">
        <v>21</v>
      </c>
      <c r="BX325" s="5" t="s">
        <v>992</v>
      </c>
    </row>
    <row r="326" spans="1:76" x14ac:dyDescent="0.25">
      <c r="A326" s="2" t="s">
        <v>993</v>
      </c>
      <c r="B326" s="3" t="s">
        <v>994</v>
      </c>
      <c r="C326" s="93" t="s">
        <v>995</v>
      </c>
      <c r="D326" s="94"/>
      <c r="E326" s="3" t="s">
        <v>52</v>
      </c>
      <c r="F326" s="25">
        <v>2</v>
      </c>
      <c r="G326" s="25">
        <v>0</v>
      </c>
      <c r="H326" s="25">
        <f t="shared" si="304"/>
        <v>0</v>
      </c>
      <c r="I326" s="25">
        <f t="shared" si="305"/>
        <v>0</v>
      </c>
      <c r="J326" s="25">
        <f t="shared" si="306"/>
        <v>0</v>
      </c>
      <c r="K326" s="26" t="s">
        <v>53</v>
      </c>
      <c r="Z326" s="25">
        <f t="shared" si="307"/>
        <v>0</v>
      </c>
      <c r="AB326" s="25">
        <f t="shared" si="308"/>
        <v>0</v>
      </c>
      <c r="AC326" s="25">
        <f t="shared" si="309"/>
        <v>0</v>
      </c>
      <c r="AD326" s="25">
        <f t="shared" si="310"/>
        <v>0</v>
      </c>
      <c r="AE326" s="25">
        <f t="shared" si="311"/>
        <v>0</v>
      </c>
      <c r="AF326" s="25">
        <f t="shared" si="312"/>
        <v>0</v>
      </c>
      <c r="AG326" s="25">
        <f t="shared" si="313"/>
        <v>0</v>
      </c>
      <c r="AH326" s="25">
        <f t="shared" si="314"/>
        <v>0</v>
      </c>
      <c r="AI326" s="11" t="s">
        <v>46</v>
      </c>
      <c r="AJ326" s="25">
        <f t="shared" si="315"/>
        <v>0</v>
      </c>
      <c r="AK326" s="25">
        <f t="shared" si="316"/>
        <v>0</v>
      </c>
      <c r="AL326" s="25">
        <f t="shared" si="317"/>
        <v>0</v>
      </c>
      <c r="AN326" s="25">
        <v>21</v>
      </c>
      <c r="AO326" s="25">
        <f t="shared" si="326"/>
        <v>0</v>
      </c>
      <c r="AP326" s="25">
        <f t="shared" si="327"/>
        <v>0</v>
      </c>
      <c r="AQ326" s="27" t="s">
        <v>76</v>
      </c>
      <c r="AV326" s="25">
        <f t="shared" si="318"/>
        <v>0</v>
      </c>
      <c r="AW326" s="25">
        <f t="shared" si="319"/>
        <v>0</v>
      </c>
      <c r="AX326" s="25">
        <f t="shared" si="320"/>
        <v>0</v>
      </c>
      <c r="AY326" s="27" t="s">
        <v>841</v>
      </c>
      <c r="AZ326" s="27" t="s">
        <v>585</v>
      </c>
      <c r="BA326" s="11" t="s">
        <v>56</v>
      </c>
      <c r="BC326" s="25">
        <f t="shared" si="321"/>
        <v>0</v>
      </c>
      <c r="BD326" s="25">
        <f t="shared" si="322"/>
        <v>0</v>
      </c>
      <c r="BE326" s="25">
        <v>0</v>
      </c>
      <c r="BF326" s="25">
        <f>326</f>
        <v>326</v>
      </c>
      <c r="BH326" s="25">
        <f t="shared" si="323"/>
        <v>0</v>
      </c>
      <c r="BI326" s="25">
        <f t="shared" si="324"/>
        <v>0</v>
      </c>
      <c r="BJ326" s="25">
        <f t="shared" si="325"/>
        <v>0</v>
      </c>
      <c r="BK326" s="27" t="s">
        <v>57</v>
      </c>
      <c r="BL326" s="25">
        <v>722</v>
      </c>
      <c r="BW326" s="25">
        <v>21</v>
      </c>
      <c r="BX326" s="5" t="s">
        <v>995</v>
      </c>
    </row>
    <row r="327" spans="1:76" x14ac:dyDescent="0.25">
      <c r="A327" s="2" t="s">
        <v>996</v>
      </c>
      <c r="B327" s="3" t="s">
        <v>997</v>
      </c>
      <c r="C327" s="93" t="s">
        <v>998</v>
      </c>
      <c r="D327" s="94"/>
      <c r="E327" s="3" t="s">
        <v>131</v>
      </c>
      <c r="F327" s="25">
        <v>3000</v>
      </c>
      <c r="G327" s="25">
        <v>0</v>
      </c>
      <c r="H327" s="25">
        <f t="shared" si="304"/>
        <v>0</v>
      </c>
      <c r="I327" s="25">
        <f t="shared" si="305"/>
        <v>0</v>
      </c>
      <c r="J327" s="25">
        <f t="shared" si="306"/>
        <v>0</v>
      </c>
      <c r="K327" s="26" t="s">
        <v>53</v>
      </c>
      <c r="Z327" s="25">
        <f t="shared" si="307"/>
        <v>0</v>
      </c>
      <c r="AB327" s="25">
        <f t="shared" si="308"/>
        <v>0</v>
      </c>
      <c r="AC327" s="25">
        <f t="shared" si="309"/>
        <v>0</v>
      </c>
      <c r="AD327" s="25">
        <f t="shared" si="310"/>
        <v>0</v>
      </c>
      <c r="AE327" s="25">
        <f t="shared" si="311"/>
        <v>0</v>
      </c>
      <c r="AF327" s="25">
        <f t="shared" si="312"/>
        <v>0</v>
      </c>
      <c r="AG327" s="25">
        <f t="shared" si="313"/>
        <v>0</v>
      </c>
      <c r="AH327" s="25">
        <f t="shared" si="314"/>
        <v>0</v>
      </c>
      <c r="AI327" s="11" t="s">
        <v>46</v>
      </c>
      <c r="AJ327" s="25">
        <f t="shared" si="315"/>
        <v>0</v>
      </c>
      <c r="AK327" s="25">
        <f t="shared" si="316"/>
        <v>0</v>
      </c>
      <c r="AL327" s="25">
        <f t="shared" si="317"/>
        <v>0</v>
      </c>
      <c r="AN327" s="25">
        <v>21</v>
      </c>
      <c r="AO327" s="25">
        <f t="shared" si="326"/>
        <v>0</v>
      </c>
      <c r="AP327" s="25">
        <f t="shared" si="327"/>
        <v>0</v>
      </c>
      <c r="AQ327" s="27" t="s">
        <v>76</v>
      </c>
      <c r="AV327" s="25">
        <f t="shared" si="318"/>
        <v>0</v>
      </c>
      <c r="AW327" s="25">
        <f t="shared" si="319"/>
        <v>0</v>
      </c>
      <c r="AX327" s="25">
        <f t="shared" si="320"/>
        <v>0</v>
      </c>
      <c r="AY327" s="27" t="s">
        <v>841</v>
      </c>
      <c r="AZ327" s="27" t="s">
        <v>585</v>
      </c>
      <c r="BA327" s="11" t="s">
        <v>56</v>
      </c>
      <c r="BC327" s="25">
        <f t="shared" si="321"/>
        <v>0</v>
      </c>
      <c r="BD327" s="25">
        <f t="shared" si="322"/>
        <v>0</v>
      </c>
      <c r="BE327" s="25">
        <v>0</v>
      </c>
      <c r="BF327" s="25">
        <f>327</f>
        <v>327</v>
      </c>
      <c r="BH327" s="25">
        <f t="shared" si="323"/>
        <v>0</v>
      </c>
      <c r="BI327" s="25">
        <f t="shared" si="324"/>
        <v>0</v>
      </c>
      <c r="BJ327" s="25">
        <f t="shared" si="325"/>
        <v>0</v>
      </c>
      <c r="BK327" s="27" t="s">
        <v>57</v>
      </c>
      <c r="BL327" s="25">
        <v>722</v>
      </c>
      <c r="BW327" s="25">
        <v>21</v>
      </c>
      <c r="BX327" s="5" t="s">
        <v>998</v>
      </c>
    </row>
    <row r="328" spans="1:76" x14ac:dyDescent="0.25">
      <c r="A328" s="2" t="s">
        <v>999</v>
      </c>
      <c r="B328" s="3" t="s">
        <v>1000</v>
      </c>
      <c r="C328" s="93" t="s">
        <v>1001</v>
      </c>
      <c r="D328" s="94"/>
      <c r="E328" s="3" t="s">
        <v>131</v>
      </c>
      <c r="F328" s="25">
        <v>3000</v>
      </c>
      <c r="G328" s="25">
        <v>0</v>
      </c>
      <c r="H328" s="25">
        <f t="shared" si="304"/>
        <v>0</v>
      </c>
      <c r="I328" s="25">
        <f t="shared" si="305"/>
        <v>0</v>
      </c>
      <c r="J328" s="25">
        <f t="shared" si="306"/>
        <v>0</v>
      </c>
      <c r="K328" s="26" t="s">
        <v>53</v>
      </c>
      <c r="Z328" s="25">
        <f t="shared" si="307"/>
        <v>0</v>
      </c>
      <c r="AB328" s="25">
        <f t="shared" si="308"/>
        <v>0</v>
      </c>
      <c r="AC328" s="25">
        <f t="shared" si="309"/>
        <v>0</v>
      </c>
      <c r="AD328" s="25">
        <f t="shared" si="310"/>
        <v>0</v>
      </c>
      <c r="AE328" s="25">
        <f t="shared" si="311"/>
        <v>0</v>
      </c>
      <c r="AF328" s="25">
        <f t="shared" si="312"/>
        <v>0</v>
      </c>
      <c r="AG328" s="25">
        <f t="shared" si="313"/>
        <v>0</v>
      </c>
      <c r="AH328" s="25">
        <f t="shared" si="314"/>
        <v>0</v>
      </c>
      <c r="AI328" s="11" t="s">
        <v>46</v>
      </c>
      <c r="AJ328" s="25">
        <f t="shared" si="315"/>
        <v>0</v>
      </c>
      <c r="AK328" s="25">
        <f t="shared" si="316"/>
        <v>0</v>
      </c>
      <c r="AL328" s="25">
        <f t="shared" si="317"/>
        <v>0</v>
      </c>
      <c r="AN328" s="25">
        <v>21</v>
      </c>
      <c r="AO328" s="25">
        <f t="shared" si="326"/>
        <v>0</v>
      </c>
      <c r="AP328" s="25">
        <f t="shared" si="327"/>
        <v>0</v>
      </c>
      <c r="AQ328" s="27" t="s">
        <v>76</v>
      </c>
      <c r="AV328" s="25">
        <f t="shared" si="318"/>
        <v>0</v>
      </c>
      <c r="AW328" s="25">
        <f t="shared" si="319"/>
        <v>0</v>
      </c>
      <c r="AX328" s="25">
        <f t="shared" si="320"/>
        <v>0</v>
      </c>
      <c r="AY328" s="27" t="s">
        <v>841</v>
      </c>
      <c r="AZ328" s="27" t="s">
        <v>585</v>
      </c>
      <c r="BA328" s="11" t="s">
        <v>56</v>
      </c>
      <c r="BC328" s="25">
        <f t="shared" si="321"/>
        <v>0</v>
      </c>
      <c r="BD328" s="25">
        <f t="shared" si="322"/>
        <v>0</v>
      </c>
      <c r="BE328" s="25">
        <v>0</v>
      </c>
      <c r="BF328" s="25">
        <f>328</f>
        <v>328</v>
      </c>
      <c r="BH328" s="25">
        <f t="shared" si="323"/>
        <v>0</v>
      </c>
      <c r="BI328" s="25">
        <f t="shared" si="324"/>
        <v>0</v>
      </c>
      <c r="BJ328" s="25">
        <f t="shared" si="325"/>
        <v>0</v>
      </c>
      <c r="BK328" s="27" t="s">
        <v>57</v>
      </c>
      <c r="BL328" s="25">
        <v>722</v>
      </c>
      <c r="BW328" s="25">
        <v>21</v>
      </c>
      <c r="BX328" s="5" t="s">
        <v>1001</v>
      </c>
    </row>
    <row r="329" spans="1:76" x14ac:dyDescent="0.25">
      <c r="A329" s="2" t="s">
        <v>1002</v>
      </c>
      <c r="B329" s="3" t="s">
        <v>1003</v>
      </c>
      <c r="C329" s="93" t="s">
        <v>1004</v>
      </c>
      <c r="D329" s="94"/>
      <c r="E329" s="3" t="s">
        <v>131</v>
      </c>
      <c r="F329" s="25">
        <v>3000</v>
      </c>
      <c r="G329" s="25">
        <v>0</v>
      </c>
      <c r="H329" s="25">
        <f t="shared" si="304"/>
        <v>0</v>
      </c>
      <c r="I329" s="25">
        <f t="shared" si="305"/>
        <v>0</v>
      </c>
      <c r="J329" s="25">
        <f t="shared" si="306"/>
        <v>0</v>
      </c>
      <c r="K329" s="26" t="s">
        <v>53</v>
      </c>
      <c r="Z329" s="25">
        <f t="shared" si="307"/>
        <v>0</v>
      </c>
      <c r="AB329" s="25">
        <f t="shared" si="308"/>
        <v>0</v>
      </c>
      <c r="AC329" s="25">
        <f t="shared" si="309"/>
        <v>0</v>
      </c>
      <c r="AD329" s="25">
        <f t="shared" si="310"/>
        <v>0</v>
      </c>
      <c r="AE329" s="25">
        <f t="shared" si="311"/>
        <v>0</v>
      </c>
      <c r="AF329" s="25">
        <f t="shared" si="312"/>
        <v>0</v>
      </c>
      <c r="AG329" s="25">
        <f t="shared" si="313"/>
        <v>0</v>
      </c>
      <c r="AH329" s="25">
        <f t="shared" si="314"/>
        <v>0</v>
      </c>
      <c r="AI329" s="11" t="s">
        <v>46</v>
      </c>
      <c r="AJ329" s="25">
        <f t="shared" si="315"/>
        <v>0</v>
      </c>
      <c r="AK329" s="25">
        <f t="shared" si="316"/>
        <v>0</v>
      </c>
      <c r="AL329" s="25">
        <f t="shared" si="317"/>
        <v>0</v>
      </c>
      <c r="AN329" s="25">
        <v>21</v>
      </c>
      <c r="AO329" s="25">
        <f t="shared" si="326"/>
        <v>0</v>
      </c>
      <c r="AP329" s="25">
        <f t="shared" si="327"/>
        <v>0</v>
      </c>
      <c r="AQ329" s="27" t="s">
        <v>76</v>
      </c>
      <c r="AV329" s="25">
        <f t="shared" si="318"/>
        <v>0</v>
      </c>
      <c r="AW329" s="25">
        <f t="shared" si="319"/>
        <v>0</v>
      </c>
      <c r="AX329" s="25">
        <f t="shared" si="320"/>
        <v>0</v>
      </c>
      <c r="AY329" s="27" t="s">
        <v>841</v>
      </c>
      <c r="AZ329" s="27" t="s">
        <v>585</v>
      </c>
      <c r="BA329" s="11" t="s">
        <v>56</v>
      </c>
      <c r="BC329" s="25">
        <f t="shared" si="321"/>
        <v>0</v>
      </c>
      <c r="BD329" s="25">
        <f t="shared" si="322"/>
        <v>0</v>
      </c>
      <c r="BE329" s="25">
        <v>0</v>
      </c>
      <c r="BF329" s="25">
        <f>329</f>
        <v>329</v>
      </c>
      <c r="BH329" s="25">
        <f t="shared" si="323"/>
        <v>0</v>
      </c>
      <c r="BI329" s="25">
        <f t="shared" si="324"/>
        <v>0</v>
      </c>
      <c r="BJ329" s="25">
        <f t="shared" si="325"/>
        <v>0</v>
      </c>
      <c r="BK329" s="27" t="s">
        <v>57</v>
      </c>
      <c r="BL329" s="25">
        <v>722</v>
      </c>
      <c r="BW329" s="25">
        <v>21</v>
      </c>
      <c r="BX329" s="5" t="s">
        <v>1004</v>
      </c>
    </row>
    <row r="330" spans="1:76" x14ac:dyDescent="0.25">
      <c r="A330" s="2" t="s">
        <v>1005</v>
      </c>
      <c r="B330" s="3" t="s">
        <v>1006</v>
      </c>
      <c r="C330" s="93" t="s">
        <v>1007</v>
      </c>
      <c r="D330" s="94"/>
      <c r="E330" s="3" t="s">
        <v>796</v>
      </c>
      <c r="F330" s="25">
        <v>10</v>
      </c>
      <c r="G330" s="25">
        <v>0</v>
      </c>
      <c r="H330" s="25">
        <f t="shared" si="304"/>
        <v>0</v>
      </c>
      <c r="I330" s="25">
        <f t="shared" si="305"/>
        <v>0</v>
      </c>
      <c r="J330" s="25">
        <f t="shared" si="306"/>
        <v>0</v>
      </c>
      <c r="K330" s="26" t="s">
        <v>53</v>
      </c>
      <c r="Z330" s="25">
        <f t="shared" si="307"/>
        <v>0</v>
      </c>
      <c r="AB330" s="25">
        <f t="shared" si="308"/>
        <v>0</v>
      </c>
      <c r="AC330" s="25">
        <f t="shared" si="309"/>
        <v>0</v>
      </c>
      <c r="AD330" s="25">
        <f t="shared" si="310"/>
        <v>0</v>
      </c>
      <c r="AE330" s="25">
        <f t="shared" si="311"/>
        <v>0</v>
      </c>
      <c r="AF330" s="25">
        <f t="shared" si="312"/>
        <v>0</v>
      </c>
      <c r="AG330" s="25">
        <f t="shared" si="313"/>
        <v>0</v>
      </c>
      <c r="AH330" s="25">
        <f t="shared" si="314"/>
        <v>0</v>
      </c>
      <c r="AI330" s="11" t="s">
        <v>46</v>
      </c>
      <c r="AJ330" s="25">
        <f t="shared" si="315"/>
        <v>0</v>
      </c>
      <c r="AK330" s="25">
        <f t="shared" si="316"/>
        <v>0</v>
      </c>
      <c r="AL330" s="25">
        <f t="shared" si="317"/>
        <v>0</v>
      </c>
      <c r="AN330" s="25">
        <v>21</v>
      </c>
      <c r="AO330" s="25">
        <f t="shared" si="326"/>
        <v>0</v>
      </c>
      <c r="AP330" s="25">
        <f t="shared" si="327"/>
        <v>0</v>
      </c>
      <c r="AQ330" s="27" t="s">
        <v>76</v>
      </c>
      <c r="AV330" s="25">
        <f t="shared" si="318"/>
        <v>0</v>
      </c>
      <c r="AW330" s="25">
        <f t="shared" si="319"/>
        <v>0</v>
      </c>
      <c r="AX330" s="25">
        <f t="shared" si="320"/>
        <v>0</v>
      </c>
      <c r="AY330" s="27" t="s">
        <v>841</v>
      </c>
      <c r="AZ330" s="27" t="s">
        <v>585</v>
      </c>
      <c r="BA330" s="11" t="s">
        <v>56</v>
      </c>
      <c r="BC330" s="25">
        <f t="shared" si="321"/>
        <v>0</v>
      </c>
      <c r="BD330" s="25">
        <f t="shared" si="322"/>
        <v>0</v>
      </c>
      <c r="BE330" s="25">
        <v>0</v>
      </c>
      <c r="BF330" s="25">
        <f>330</f>
        <v>330</v>
      </c>
      <c r="BH330" s="25">
        <f t="shared" si="323"/>
        <v>0</v>
      </c>
      <c r="BI330" s="25">
        <f t="shared" si="324"/>
        <v>0</v>
      </c>
      <c r="BJ330" s="25">
        <f t="shared" si="325"/>
        <v>0</v>
      </c>
      <c r="BK330" s="27" t="s">
        <v>57</v>
      </c>
      <c r="BL330" s="25">
        <v>722</v>
      </c>
      <c r="BW330" s="25">
        <v>21</v>
      </c>
      <c r="BX330" s="5" t="s">
        <v>1007</v>
      </c>
    </row>
    <row r="331" spans="1:76" x14ac:dyDescent="0.25">
      <c r="A331" s="2" t="s">
        <v>1008</v>
      </c>
      <c r="B331" s="3" t="s">
        <v>1009</v>
      </c>
      <c r="C331" s="93" t="s">
        <v>1010</v>
      </c>
      <c r="D331" s="94"/>
      <c r="E331" s="3" t="s">
        <v>796</v>
      </c>
      <c r="F331" s="25">
        <v>10</v>
      </c>
      <c r="G331" s="25">
        <v>0</v>
      </c>
      <c r="H331" s="25">
        <f t="shared" si="304"/>
        <v>0</v>
      </c>
      <c r="I331" s="25">
        <f t="shared" si="305"/>
        <v>0</v>
      </c>
      <c r="J331" s="25">
        <f t="shared" si="306"/>
        <v>0</v>
      </c>
      <c r="K331" s="26" t="s">
        <v>53</v>
      </c>
      <c r="Z331" s="25">
        <f t="shared" si="307"/>
        <v>0</v>
      </c>
      <c r="AB331" s="25">
        <f t="shared" si="308"/>
        <v>0</v>
      </c>
      <c r="AC331" s="25">
        <f t="shared" si="309"/>
        <v>0</v>
      </c>
      <c r="AD331" s="25">
        <f t="shared" si="310"/>
        <v>0</v>
      </c>
      <c r="AE331" s="25">
        <f t="shared" si="311"/>
        <v>0</v>
      </c>
      <c r="AF331" s="25">
        <f t="shared" si="312"/>
        <v>0</v>
      </c>
      <c r="AG331" s="25">
        <f t="shared" si="313"/>
        <v>0</v>
      </c>
      <c r="AH331" s="25">
        <f t="shared" si="314"/>
        <v>0</v>
      </c>
      <c r="AI331" s="11" t="s">
        <v>46</v>
      </c>
      <c r="AJ331" s="25">
        <f t="shared" si="315"/>
        <v>0</v>
      </c>
      <c r="AK331" s="25">
        <f t="shared" si="316"/>
        <v>0</v>
      </c>
      <c r="AL331" s="25">
        <f t="shared" si="317"/>
        <v>0</v>
      </c>
      <c r="AN331" s="25">
        <v>21</v>
      </c>
      <c r="AO331" s="25">
        <f t="shared" si="326"/>
        <v>0</v>
      </c>
      <c r="AP331" s="25">
        <f t="shared" si="327"/>
        <v>0</v>
      </c>
      <c r="AQ331" s="27" t="s">
        <v>76</v>
      </c>
      <c r="AV331" s="25">
        <f t="shared" si="318"/>
        <v>0</v>
      </c>
      <c r="AW331" s="25">
        <f t="shared" si="319"/>
        <v>0</v>
      </c>
      <c r="AX331" s="25">
        <f t="shared" si="320"/>
        <v>0</v>
      </c>
      <c r="AY331" s="27" t="s">
        <v>841</v>
      </c>
      <c r="AZ331" s="27" t="s">
        <v>585</v>
      </c>
      <c r="BA331" s="11" t="s">
        <v>56</v>
      </c>
      <c r="BC331" s="25">
        <f t="shared" si="321"/>
        <v>0</v>
      </c>
      <c r="BD331" s="25">
        <f t="shared" si="322"/>
        <v>0</v>
      </c>
      <c r="BE331" s="25">
        <v>0</v>
      </c>
      <c r="BF331" s="25">
        <f>331</f>
        <v>331</v>
      </c>
      <c r="BH331" s="25">
        <f t="shared" si="323"/>
        <v>0</v>
      </c>
      <c r="BI331" s="25">
        <f t="shared" si="324"/>
        <v>0</v>
      </c>
      <c r="BJ331" s="25">
        <f t="shared" si="325"/>
        <v>0</v>
      </c>
      <c r="BK331" s="27" t="s">
        <v>57</v>
      </c>
      <c r="BL331" s="25">
        <v>722</v>
      </c>
      <c r="BW331" s="25">
        <v>21</v>
      </c>
      <c r="BX331" s="5" t="s">
        <v>1010</v>
      </c>
    </row>
    <row r="332" spans="1:76" x14ac:dyDescent="0.25">
      <c r="A332" s="2" t="s">
        <v>1011</v>
      </c>
      <c r="B332" s="3" t="s">
        <v>1012</v>
      </c>
      <c r="C332" s="93" t="s">
        <v>826</v>
      </c>
      <c r="D332" s="94"/>
      <c r="E332" s="3" t="s">
        <v>796</v>
      </c>
      <c r="F332" s="25">
        <v>80</v>
      </c>
      <c r="G332" s="25">
        <v>0</v>
      </c>
      <c r="H332" s="25">
        <f t="shared" si="304"/>
        <v>0</v>
      </c>
      <c r="I332" s="25">
        <f t="shared" si="305"/>
        <v>0</v>
      </c>
      <c r="J332" s="25">
        <f t="shared" si="306"/>
        <v>0</v>
      </c>
      <c r="K332" s="26" t="s">
        <v>53</v>
      </c>
      <c r="Z332" s="25">
        <f t="shared" si="307"/>
        <v>0</v>
      </c>
      <c r="AB332" s="25">
        <f t="shared" si="308"/>
        <v>0</v>
      </c>
      <c r="AC332" s="25">
        <f t="shared" si="309"/>
        <v>0</v>
      </c>
      <c r="AD332" s="25">
        <f t="shared" si="310"/>
        <v>0</v>
      </c>
      <c r="AE332" s="25">
        <f t="shared" si="311"/>
        <v>0</v>
      </c>
      <c r="AF332" s="25">
        <f t="shared" si="312"/>
        <v>0</v>
      </c>
      <c r="AG332" s="25">
        <f t="shared" si="313"/>
        <v>0</v>
      </c>
      <c r="AH332" s="25">
        <f t="shared" si="314"/>
        <v>0</v>
      </c>
      <c r="AI332" s="11" t="s">
        <v>46</v>
      </c>
      <c r="AJ332" s="25">
        <f t="shared" si="315"/>
        <v>0</v>
      </c>
      <c r="AK332" s="25">
        <f t="shared" si="316"/>
        <v>0</v>
      </c>
      <c r="AL332" s="25">
        <f t="shared" si="317"/>
        <v>0</v>
      </c>
      <c r="AN332" s="25">
        <v>21</v>
      </c>
      <c r="AO332" s="25">
        <f t="shared" si="326"/>
        <v>0</v>
      </c>
      <c r="AP332" s="25">
        <f t="shared" si="327"/>
        <v>0</v>
      </c>
      <c r="AQ332" s="27" t="s">
        <v>76</v>
      </c>
      <c r="AV332" s="25">
        <f t="shared" si="318"/>
        <v>0</v>
      </c>
      <c r="AW332" s="25">
        <f t="shared" si="319"/>
        <v>0</v>
      </c>
      <c r="AX332" s="25">
        <f t="shared" si="320"/>
        <v>0</v>
      </c>
      <c r="AY332" s="27" t="s">
        <v>841</v>
      </c>
      <c r="AZ332" s="27" t="s">
        <v>585</v>
      </c>
      <c r="BA332" s="11" t="s">
        <v>56</v>
      </c>
      <c r="BC332" s="25">
        <f t="shared" si="321"/>
        <v>0</v>
      </c>
      <c r="BD332" s="25">
        <f t="shared" si="322"/>
        <v>0</v>
      </c>
      <c r="BE332" s="25">
        <v>0</v>
      </c>
      <c r="BF332" s="25">
        <f>332</f>
        <v>332</v>
      </c>
      <c r="BH332" s="25">
        <f t="shared" si="323"/>
        <v>0</v>
      </c>
      <c r="BI332" s="25">
        <f t="shared" si="324"/>
        <v>0</v>
      </c>
      <c r="BJ332" s="25">
        <f t="shared" si="325"/>
        <v>0</v>
      </c>
      <c r="BK332" s="27" t="s">
        <v>57</v>
      </c>
      <c r="BL332" s="25">
        <v>722</v>
      </c>
      <c r="BW332" s="25">
        <v>21</v>
      </c>
      <c r="BX332" s="5" t="s">
        <v>826</v>
      </c>
    </row>
    <row r="333" spans="1:76" x14ac:dyDescent="0.25">
      <c r="A333" s="2" t="s">
        <v>1013</v>
      </c>
      <c r="B333" s="3" t="s">
        <v>1014</v>
      </c>
      <c r="C333" s="93" t="s">
        <v>1015</v>
      </c>
      <c r="D333" s="94"/>
      <c r="E333" s="3" t="s">
        <v>52</v>
      </c>
      <c r="F333" s="25">
        <v>1</v>
      </c>
      <c r="G333" s="25">
        <v>0</v>
      </c>
      <c r="H333" s="25">
        <f t="shared" si="304"/>
        <v>0</v>
      </c>
      <c r="I333" s="25">
        <f t="shared" si="305"/>
        <v>0</v>
      </c>
      <c r="J333" s="25">
        <f t="shared" si="306"/>
        <v>0</v>
      </c>
      <c r="K333" s="26" t="s">
        <v>53</v>
      </c>
      <c r="Z333" s="25">
        <f t="shared" si="307"/>
        <v>0</v>
      </c>
      <c r="AB333" s="25">
        <f t="shared" si="308"/>
        <v>0</v>
      </c>
      <c r="AC333" s="25">
        <f t="shared" si="309"/>
        <v>0</v>
      </c>
      <c r="AD333" s="25">
        <f t="shared" si="310"/>
        <v>0</v>
      </c>
      <c r="AE333" s="25">
        <f t="shared" si="311"/>
        <v>0</v>
      </c>
      <c r="AF333" s="25">
        <f t="shared" si="312"/>
        <v>0</v>
      </c>
      <c r="AG333" s="25">
        <f t="shared" si="313"/>
        <v>0</v>
      </c>
      <c r="AH333" s="25">
        <f t="shared" si="314"/>
        <v>0</v>
      </c>
      <c r="AI333" s="11" t="s">
        <v>46</v>
      </c>
      <c r="AJ333" s="25">
        <f t="shared" si="315"/>
        <v>0</v>
      </c>
      <c r="AK333" s="25">
        <f t="shared" si="316"/>
        <v>0</v>
      </c>
      <c r="AL333" s="25">
        <f t="shared" si="317"/>
        <v>0</v>
      </c>
      <c r="AN333" s="25">
        <v>21</v>
      </c>
      <c r="AO333" s="25">
        <f t="shared" si="326"/>
        <v>0</v>
      </c>
      <c r="AP333" s="25">
        <f t="shared" si="327"/>
        <v>0</v>
      </c>
      <c r="AQ333" s="27" t="s">
        <v>76</v>
      </c>
      <c r="AV333" s="25">
        <f t="shared" si="318"/>
        <v>0</v>
      </c>
      <c r="AW333" s="25">
        <f t="shared" si="319"/>
        <v>0</v>
      </c>
      <c r="AX333" s="25">
        <f t="shared" si="320"/>
        <v>0</v>
      </c>
      <c r="AY333" s="27" t="s">
        <v>841</v>
      </c>
      <c r="AZ333" s="27" t="s">
        <v>585</v>
      </c>
      <c r="BA333" s="11" t="s">
        <v>56</v>
      </c>
      <c r="BC333" s="25">
        <f t="shared" si="321"/>
        <v>0</v>
      </c>
      <c r="BD333" s="25">
        <f t="shared" si="322"/>
        <v>0</v>
      </c>
      <c r="BE333" s="25">
        <v>0</v>
      </c>
      <c r="BF333" s="25">
        <f>333</f>
        <v>333</v>
      </c>
      <c r="BH333" s="25">
        <f t="shared" si="323"/>
        <v>0</v>
      </c>
      <c r="BI333" s="25">
        <f t="shared" si="324"/>
        <v>0</v>
      </c>
      <c r="BJ333" s="25">
        <f t="shared" si="325"/>
        <v>0</v>
      </c>
      <c r="BK333" s="27" t="s">
        <v>57</v>
      </c>
      <c r="BL333" s="25">
        <v>722</v>
      </c>
      <c r="BW333" s="25">
        <v>21</v>
      </c>
      <c r="BX333" s="5" t="s">
        <v>1015</v>
      </c>
    </row>
    <row r="334" spans="1:76" x14ac:dyDescent="0.25">
      <c r="A334" s="2" t="s">
        <v>1016</v>
      </c>
      <c r="B334" s="3" t="s">
        <v>1017</v>
      </c>
      <c r="C334" s="93" t="s">
        <v>829</v>
      </c>
      <c r="D334" s="94"/>
      <c r="E334" s="3" t="s">
        <v>52</v>
      </c>
      <c r="F334" s="25">
        <v>1</v>
      </c>
      <c r="G334" s="25">
        <v>0</v>
      </c>
      <c r="H334" s="25">
        <f t="shared" si="304"/>
        <v>0</v>
      </c>
      <c r="I334" s="25">
        <f t="shared" si="305"/>
        <v>0</v>
      </c>
      <c r="J334" s="25">
        <f t="shared" si="306"/>
        <v>0</v>
      </c>
      <c r="K334" s="26" t="s">
        <v>53</v>
      </c>
      <c r="Z334" s="25">
        <f t="shared" si="307"/>
        <v>0</v>
      </c>
      <c r="AB334" s="25">
        <f t="shared" si="308"/>
        <v>0</v>
      </c>
      <c r="AC334" s="25">
        <f t="shared" si="309"/>
        <v>0</v>
      </c>
      <c r="AD334" s="25">
        <f t="shared" si="310"/>
        <v>0</v>
      </c>
      <c r="AE334" s="25">
        <f t="shared" si="311"/>
        <v>0</v>
      </c>
      <c r="AF334" s="25">
        <f t="shared" si="312"/>
        <v>0</v>
      </c>
      <c r="AG334" s="25">
        <f t="shared" si="313"/>
        <v>0</v>
      </c>
      <c r="AH334" s="25">
        <f t="shared" si="314"/>
        <v>0</v>
      </c>
      <c r="AI334" s="11" t="s">
        <v>46</v>
      </c>
      <c r="AJ334" s="25">
        <f t="shared" si="315"/>
        <v>0</v>
      </c>
      <c r="AK334" s="25">
        <f t="shared" si="316"/>
        <v>0</v>
      </c>
      <c r="AL334" s="25">
        <f t="shared" si="317"/>
        <v>0</v>
      </c>
      <c r="AN334" s="25">
        <v>21</v>
      </c>
      <c r="AO334" s="25">
        <f t="shared" si="326"/>
        <v>0</v>
      </c>
      <c r="AP334" s="25">
        <f t="shared" si="327"/>
        <v>0</v>
      </c>
      <c r="AQ334" s="27" t="s">
        <v>76</v>
      </c>
      <c r="AV334" s="25">
        <f t="shared" si="318"/>
        <v>0</v>
      </c>
      <c r="AW334" s="25">
        <f t="shared" si="319"/>
        <v>0</v>
      </c>
      <c r="AX334" s="25">
        <f t="shared" si="320"/>
        <v>0</v>
      </c>
      <c r="AY334" s="27" t="s">
        <v>841</v>
      </c>
      <c r="AZ334" s="27" t="s">
        <v>585</v>
      </c>
      <c r="BA334" s="11" t="s">
        <v>56</v>
      </c>
      <c r="BC334" s="25">
        <f t="shared" si="321"/>
        <v>0</v>
      </c>
      <c r="BD334" s="25">
        <f t="shared" si="322"/>
        <v>0</v>
      </c>
      <c r="BE334" s="25">
        <v>0</v>
      </c>
      <c r="BF334" s="25">
        <f>334</f>
        <v>334</v>
      </c>
      <c r="BH334" s="25">
        <f t="shared" si="323"/>
        <v>0</v>
      </c>
      <c r="BI334" s="25">
        <f t="shared" si="324"/>
        <v>0</v>
      </c>
      <c r="BJ334" s="25">
        <f t="shared" si="325"/>
        <v>0</v>
      </c>
      <c r="BK334" s="27" t="s">
        <v>57</v>
      </c>
      <c r="BL334" s="25">
        <v>722</v>
      </c>
      <c r="BW334" s="25">
        <v>21</v>
      </c>
      <c r="BX334" s="5" t="s">
        <v>829</v>
      </c>
    </row>
    <row r="335" spans="1:76" x14ac:dyDescent="0.25">
      <c r="A335" s="2" t="s">
        <v>1018</v>
      </c>
      <c r="B335" s="3" t="s">
        <v>1019</v>
      </c>
      <c r="C335" s="93" t="s">
        <v>832</v>
      </c>
      <c r="D335" s="94"/>
      <c r="E335" s="3" t="s">
        <v>52</v>
      </c>
      <c r="F335" s="25">
        <v>1</v>
      </c>
      <c r="G335" s="25">
        <v>0</v>
      </c>
      <c r="H335" s="25">
        <f t="shared" si="304"/>
        <v>0</v>
      </c>
      <c r="I335" s="25">
        <f t="shared" si="305"/>
        <v>0</v>
      </c>
      <c r="J335" s="25">
        <f t="shared" si="306"/>
        <v>0</v>
      </c>
      <c r="K335" s="26" t="s">
        <v>53</v>
      </c>
      <c r="Z335" s="25">
        <f t="shared" si="307"/>
        <v>0</v>
      </c>
      <c r="AB335" s="25">
        <f t="shared" si="308"/>
        <v>0</v>
      </c>
      <c r="AC335" s="25">
        <f t="shared" si="309"/>
        <v>0</v>
      </c>
      <c r="AD335" s="25">
        <f t="shared" si="310"/>
        <v>0</v>
      </c>
      <c r="AE335" s="25">
        <f t="shared" si="311"/>
        <v>0</v>
      </c>
      <c r="AF335" s="25">
        <f t="shared" si="312"/>
        <v>0</v>
      </c>
      <c r="AG335" s="25">
        <f t="shared" si="313"/>
        <v>0</v>
      </c>
      <c r="AH335" s="25">
        <f t="shared" si="314"/>
        <v>0</v>
      </c>
      <c r="AI335" s="11" t="s">
        <v>46</v>
      </c>
      <c r="AJ335" s="25">
        <f t="shared" si="315"/>
        <v>0</v>
      </c>
      <c r="AK335" s="25">
        <f t="shared" si="316"/>
        <v>0</v>
      </c>
      <c r="AL335" s="25">
        <f t="shared" si="317"/>
        <v>0</v>
      </c>
      <c r="AN335" s="25">
        <v>21</v>
      </c>
      <c r="AO335" s="25">
        <f t="shared" si="326"/>
        <v>0</v>
      </c>
      <c r="AP335" s="25">
        <f t="shared" si="327"/>
        <v>0</v>
      </c>
      <c r="AQ335" s="27" t="s">
        <v>76</v>
      </c>
      <c r="AV335" s="25">
        <f t="shared" si="318"/>
        <v>0</v>
      </c>
      <c r="AW335" s="25">
        <f t="shared" si="319"/>
        <v>0</v>
      </c>
      <c r="AX335" s="25">
        <f t="shared" si="320"/>
        <v>0</v>
      </c>
      <c r="AY335" s="27" t="s">
        <v>841</v>
      </c>
      <c r="AZ335" s="27" t="s">
        <v>585</v>
      </c>
      <c r="BA335" s="11" t="s">
        <v>56</v>
      </c>
      <c r="BC335" s="25">
        <f t="shared" si="321"/>
        <v>0</v>
      </c>
      <c r="BD335" s="25">
        <f t="shared" si="322"/>
        <v>0</v>
      </c>
      <c r="BE335" s="25">
        <v>0</v>
      </c>
      <c r="BF335" s="25">
        <f>335</f>
        <v>335</v>
      </c>
      <c r="BH335" s="25">
        <f t="shared" si="323"/>
        <v>0</v>
      </c>
      <c r="BI335" s="25">
        <f t="shared" si="324"/>
        <v>0</v>
      </c>
      <c r="BJ335" s="25">
        <f t="shared" si="325"/>
        <v>0</v>
      </c>
      <c r="BK335" s="27" t="s">
        <v>57</v>
      </c>
      <c r="BL335" s="25">
        <v>722</v>
      </c>
      <c r="BW335" s="25">
        <v>21</v>
      </c>
      <c r="BX335" s="5" t="s">
        <v>832</v>
      </c>
    </row>
    <row r="336" spans="1:76" x14ac:dyDescent="0.25">
      <c r="A336" s="2" t="s">
        <v>1020</v>
      </c>
      <c r="B336" s="3" t="s">
        <v>1021</v>
      </c>
      <c r="C336" s="93" t="s">
        <v>835</v>
      </c>
      <c r="D336" s="94"/>
      <c r="E336" s="3" t="s">
        <v>52</v>
      </c>
      <c r="F336" s="25">
        <v>1</v>
      </c>
      <c r="G336" s="25">
        <v>0</v>
      </c>
      <c r="H336" s="25">
        <f t="shared" si="304"/>
        <v>0</v>
      </c>
      <c r="I336" s="25">
        <f t="shared" si="305"/>
        <v>0</v>
      </c>
      <c r="J336" s="25">
        <f t="shared" si="306"/>
        <v>0</v>
      </c>
      <c r="K336" s="26" t="s">
        <v>53</v>
      </c>
      <c r="Z336" s="25">
        <f t="shared" si="307"/>
        <v>0</v>
      </c>
      <c r="AB336" s="25">
        <f t="shared" si="308"/>
        <v>0</v>
      </c>
      <c r="AC336" s="25">
        <f t="shared" si="309"/>
        <v>0</v>
      </c>
      <c r="AD336" s="25">
        <f t="shared" si="310"/>
        <v>0</v>
      </c>
      <c r="AE336" s="25">
        <f t="shared" si="311"/>
        <v>0</v>
      </c>
      <c r="AF336" s="25">
        <f t="shared" si="312"/>
        <v>0</v>
      </c>
      <c r="AG336" s="25">
        <f t="shared" si="313"/>
        <v>0</v>
      </c>
      <c r="AH336" s="25">
        <f t="shared" si="314"/>
        <v>0</v>
      </c>
      <c r="AI336" s="11" t="s">
        <v>46</v>
      </c>
      <c r="AJ336" s="25">
        <f t="shared" si="315"/>
        <v>0</v>
      </c>
      <c r="AK336" s="25">
        <f t="shared" si="316"/>
        <v>0</v>
      </c>
      <c r="AL336" s="25">
        <f t="shared" si="317"/>
        <v>0</v>
      </c>
      <c r="AN336" s="25">
        <v>21</v>
      </c>
      <c r="AO336" s="25">
        <f t="shared" si="326"/>
        <v>0</v>
      </c>
      <c r="AP336" s="25">
        <f t="shared" si="327"/>
        <v>0</v>
      </c>
      <c r="AQ336" s="27" t="s">
        <v>76</v>
      </c>
      <c r="AV336" s="25">
        <f t="shared" si="318"/>
        <v>0</v>
      </c>
      <c r="AW336" s="25">
        <f t="shared" si="319"/>
        <v>0</v>
      </c>
      <c r="AX336" s="25">
        <f t="shared" si="320"/>
        <v>0</v>
      </c>
      <c r="AY336" s="27" t="s">
        <v>841</v>
      </c>
      <c r="AZ336" s="27" t="s">
        <v>585</v>
      </c>
      <c r="BA336" s="11" t="s">
        <v>56</v>
      </c>
      <c r="BC336" s="25">
        <f t="shared" si="321"/>
        <v>0</v>
      </c>
      <c r="BD336" s="25">
        <f t="shared" si="322"/>
        <v>0</v>
      </c>
      <c r="BE336" s="25">
        <v>0</v>
      </c>
      <c r="BF336" s="25">
        <f>336</f>
        <v>336</v>
      </c>
      <c r="BH336" s="25">
        <f t="shared" si="323"/>
        <v>0</v>
      </c>
      <c r="BI336" s="25">
        <f t="shared" si="324"/>
        <v>0</v>
      </c>
      <c r="BJ336" s="25">
        <f t="shared" si="325"/>
        <v>0</v>
      </c>
      <c r="BK336" s="27" t="s">
        <v>57</v>
      </c>
      <c r="BL336" s="25">
        <v>722</v>
      </c>
      <c r="BW336" s="25">
        <v>21</v>
      </c>
      <c r="BX336" s="5" t="s">
        <v>835</v>
      </c>
    </row>
    <row r="337" spans="1:76" x14ac:dyDescent="0.25">
      <c r="A337" s="28" t="s">
        <v>46</v>
      </c>
      <c r="B337" s="29" t="s">
        <v>1022</v>
      </c>
      <c r="C337" s="150" t="s">
        <v>1023</v>
      </c>
      <c r="D337" s="151"/>
      <c r="E337" s="30" t="s">
        <v>4</v>
      </c>
      <c r="F337" s="30" t="s">
        <v>4</v>
      </c>
      <c r="G337" s="30" t="s">
        <v>4</v>
      </c>
      <c r="H337" s="1">
        <f>ROUND(SUM(H338:H408),1)</f>
        <v>0</v>
      </c>
      <c r="I337" s="1">
        <f>ROUND(SUM(I338:I408),1)</f>
        <v>0</v>
      </c>
      <c r="J337" s="1">
        <f>ROUND(SUM(J338:J408),1)</f>
        <v>0</v>
      </c>
      <c r="K337" s="31" t="s">
        <v>46</v>
      </c>
      <c r="AI337" s="11" t="s">
        <v>46</v>
      </c>
      <c r="AS337" s="1">
        <f>SUM(AJ338:AJ408)</f>
        <v>0</v>
      </c>
      <c r="AT337" s="1">
        <f>SUM(AK338:AK408)</f>
        <v>0</v>
      </c>
      <c r="AU337" s="1">
        <f>SUM(AL338:AL408)</f>
        <v>0</v>
      </c>
    </row>
    <row r="338" spans="1:76" x14ac:dyDescent="0.25">
      <c r="A338" s="2" t="s">
        <v>1024</v>
      </c>
      <c r="B338" s="3" t="s">
        <v>1025</v>
      </c>
      <c r="C338" s="93" t="s">
        <v>1026</v>
      </c>
      <c r="D338" s="94"/>
      <c r="E338" s="3" t="s">
        <v>52</v>
      </c>
      <c r="F338" s="25">
        <v>2</v>
      </c>
      <c r="G338" s="25">
        <v>0</v>
      </c>
      <c r="H338" s="25">
        <f t="shared" ref="H338:H369" si="328">ROUND(F338*AO338,2)</f>
        <v>0</v>
      </c>
      <c r="I338" s="25">
        <f t="shared" ref="I338:I369" si="329">ROUND(F338*AP338,2)</f>
        <v>0</v>
      </c>
      <c r="J338" s="25">
        <f t="shared" ref="J338:J369" si="330">ROUND(F338*G338,1)</f>
        <v>0</v>
      </c>
      <c r="K338" s="26" t="s">
        <v>53</v>
      </c>
      <c r="Z338" s="25">
        <f t="shared" ref="Z338:Z369" si="331">ROUND(IF(AQ338="5",BJ338,0),2)</f>
        <v>0</v>
      </c>
      <c r="AB338" s="25">
        <f t="shared" ref="AB338:AB369" si="332">ROUND(IF(AQ338="1",BH338,0),2)</f>
        <v>0</v>
      </c>
      <c r="AC338" s="25">
        <f t="shared" ref="AC338:AC369" si="333">ROUND(IF(AQ338="1",BI338,0),2)</f>
        <v>0</v>
      </c>
      <c r="AD338" s="25">
        <f t="shared" ref="AD338:AD369" si="334">ROUND(IF(AQ338="7",BH338,0),2)</f>
        <v>0</v>
      </c>
      <c r="AE338" s="25">
        <f t="shared" ref="AE338:AE369" si="335">ROUND(IF(AQ338="7",BI338,0),2)</f>
        <v>0</v>
      </c>
      <c r="AF338" s="25">
        <f t="shared" ref="AF338:AF369" si="336">ROUND(IF(AQ338="2",BH338,0),2)</f>
        <v>0</v>
      </c>
      <c r="AG338" s="25">
        <f t="shared" ref="AG338:AG369" si="337">ROUND(IF(AQ338="2",BI338,0),2)</f>
        <v>0</v>
      </c>
      <c r="AH338" s="25">
        <f t="shared" ref="AH338:AH369" si="338">ROUND(IF(AQ338="0",BJ338,0),2)</f>
        <v>0</v>
      </c>
      <c r="AI338" s="11" t="s">
        <v>46</v>
      </c>
      <c r="AJ338" s="25">
        <f t="shared" ref="AJ338:AJ369" si="339">IF(AN338=0,J338,0)</f>
        <v>0</v>
      </c>
      <c r="AK338" s="25">
        <f t="shared" ref="AK338:AK369" si="340">IF(AN338=12,J338,0)</f>
        <v>0</v>
      </c>
      <c r="AL338" s="25">
        <f t="shared" ref="AL338:AL369" si="341">IF(AN338=21,J338,0)</f>
        <v>0</v>
      </c>
      <c r="AN338" s="25">
        <v>21</v>
      </c>
      <c r="AO338" s="25">
        <f>G338*0.53</f>
        <v>0</v>
      </c>
      <c r="AP338" s="25">
        <f>G338*(1-0.53)</f>
        <v>0</v>
      </c>
      <c r="AQ338" s="27" t="s">
        <v>76</v>
      </c>
      <c r="AV338" s="25">
        <f t="shared" ref="AV338:AV369" si="342">ROUND(AW338+AX338,2)</f>
        <v>0</v>
      </c>
      <c r="AW338" s="25">
        <f t="shared" ref="AW338:AW369" si="343">ROUND(F338*AO338,2)</f>
        <v>0</v>
      </c>
      <c r="AX338" s="25">
        <f t="shared" ref="AX338:AX369" si="344">ROUND(F338*AP338,2)</f>
        <v>0</v>
      </c>
      <c r="AY338" s="27" t="s">
        <v>1027</v>
      </c>
      <c r="AZ338" s="27" t="s">
        <v>585</v>
      </c>
      <c r="BA338" s="11" t="s">
        <v>56</v>
      </c>
      <c r="BC338" s="25">
        <f t="shared" ref="BC338:BC369" si="345">AW338+AX338</f>
        <v>0</v>
      </c>
      <c r="BD338" s="25">
        <f t="shared" ref="BD338:BD369" si="346">G338/(100-BE338)*100</f>
        <v>0</v>
      </c>
      <c r="BE338" s="25">
        <v>0</v>
      </c>
      <c r="BF338" s="25">
        <f>338</f>
        <v>338</v>
      </c>
      <c r="BH338" s="25">
        <f t="shared" ref="BH338:BH369" si="347">F338*AO338</f>
        <v>0</v>
      </c>
      <c r="BI338" s="25">
        <f t="shared" ref="BI338:BI369" si="348">F338*AP338</f>
        <v>0</v>
      </c>
      <c r="BJ338" s="25">
        <f t="shared" ref="BJ338:BJ369" si="349">F338*G338</f>
        <v>0</v>
      </c>
      <c r="BK338" s="27" t="s">
        <v>57</v>
      </c>
      <c r="BL338" s="25">
        <v>728</v>
      </c>
      <c r="BW338" s="25">
        <v>21</v>
      </c>
      <c r="BX338" s="5" t="s">
        <v>1026</v>
      </c>
    </row>
    <row r="339" spans="1:76" x14ac:dyDescent="0.25">
      <c r="A339" s="2" t="s">
        <v>1028</v>
      </c>
      <c r="B339" s="3" t="s">
        <v>1029</v>
      </c>
      <c r="C339" s="93" t="s">
        <v>1030</v>
      </c>
      <c r="D339" s="94"/>
      <c r="E339" s="3" t="s">
        <v>52</v>
      </c>
      <c r="F339" s="25">
        <v>9</v>
      </c>
      <c r="G339" s="25">
        <v>0</v>
      </c>
      <c r="H339" s="25">
        <f t="shared" si="328"/>
        <v>0</v>
      </c>
      <c r="I339" s="25">
        <f t="shared" si="329"/>
        <v>0</v>
      </c>
      <c r="J339" s="25">
        <f t="shared" si="330"/>
        <v>0</v>
      </c>
      <c r="K339" s="26" t="s">
        <v>53</v>
      </c>
      <c r="Z339" s="25">
        <f t="shared" si="331"/>
        <v>0</v>
      </c>
      <c r="AB339" s="25">
        <f t="shared" si="332"/>
        <v>0</v>
      </c>
      <c r="AC339" s="25">
        <f t="shared" si="333"/>
        <v>0</v>
      </c>
      <c r="AD339" s="25">
        <f t="shared" si="334"/>
        <v>0</v>
      </c>
      <c r="AE339" s="25">
        <f t="shared" si="335"/>
        <v>0</v>
      </c>
      <c r="AF339" s="25">
        <f t="shared" si="336"/>
        <v>0</v>
      </c>
      <c r="AG339" s="25">
        <f t="shared" si="337"/>
        <v>0</v>
      </c>
      <c r="AH339" s="25">
        <f t="shared" si="338"/>
        <v>0</v>
      </c>
      <c r="AI339" s="11" t="s">
        <v>46</v>
      </c>
      <c r="AJ339" s="25">
        <f t="shared" si="339"/>
        <v>0</v>
      </c>
      <c r="AK339" s="25">
        <f t="shared" si="340"/>
        <v>0</v>
      </c>
      <c r="AL339" s="25">
        <f t="shared" si="341"/>
        <v>0</v>
      </c>
      <c r="AN339" s="25">
        <v>21</v>
      </c>
      <c r="AO339" s="25">
        <f>G339*0.53</f>
        <v>0</v>
      </c>
      <c r="AP339" s="25">
        <f>G339*(1-0.53)</f>
        <v>0</v>
      </c>
      <c r="AQ339" s="27" t="s">
        <v>76</v>
      </c>
      <c r="AV339" s="25">
        <f t="shared" si="342"/>
        <v>0</v>
      </c>
      <c r="AW339" s="25">
        <f t="shared" si="343"/>
        <v>0</v>
      </c>
      <c r="AX339" s="25">
        <f t="shared" si="344"/>
        <v>0</v>
      </c>
      <c r="AY339" s="27" t="s">
        <v>1027</v>
      </c>
      <c r="AZ339" s="27" t="s">
        <v>585</v>
      </c>
      <c r="BA339" s="11" t="s">
        <v>56</v>
      </c>
      <c r="BC339" s="25">
        <f t="shared" si="345"/>
        <v>0</v>
      </c>
      <c r="BD339" s="25">
        <f t="shared" si="346"/>
        <v>0</v>
      </c>
      <c r="BE339" s="25">
        <v>0</v>
      </c>
      <c r="BF339" s="25">
        <f>339</f>
        <v>339</v>
      </c>
      <c r="BH339" s="25">
        <f t="shared" si="347"/>
        <v>0</v>
      </c>
      <c r="BI339" s="25">
        <f t="shared" si="348"/>
        <v>0</v>
      </c>
      <c r="BJ339" s="25">
        <f t="shared" si="349"/>
        <v>0</v>
      </c>
      <c r="BK339" s="27" t="s">
        <v>57</v>
      </c>
      <c r="BL339" s="25">
        <v>728</v>
      </c>
      <c r="BW339" s="25">
        <v>21</v>
      </c>
      <c r="BX339" s="5" t="s">
        <v>1030</v>
      </c>
    </row>
    <row r="340" spans="1:76" x14ac:dyDescent="0.25">
      <c r="A340" s="2" t="s">
        <v>1031</v>
      </c>
      <c r="B340" s="3" t="s">
        <v>1032</v>
      </c>
      <c r="C340" s="93" t="s">
        <v>1033</v>
      </c>
      <c r="D340" s="94"/>
      <c r="E340" s="3" t="s">
        <v>52</v>
      </c>
      <c r="F340" s="25">
        <v>5</v>
      </c>
      <c r="G340" s="25">
        <v>0</v>
      </c>
      <c r="H340" s="25">
        <f t="shared" si="328"/>
        <v>0</v>
      </c>
      <c r="I340" s="25">
        <f t="shared" si="329"/>
        <v>0</v>
      </c>
      <c r="J340" s="25">
        <f t="shared" si="330"/>
        <v>0</v>
      </c>
      <c r="K340" s="26" t="s">
        <v>53</v>
      </c>
      <c r="Z340" s="25">
        <f t="shared" si="331"/>
        <v>0</v>
      </c>
      <c r="AB340" s="25">
        <f t="shared" si="332"/>
        <v>0</v>
      </c>
      <c r="AC340" s="25">
        <f t="shared" si="333"/>
        <v>0</v>
      </c>
      <c r="AD340" s="25">
        <f t="shared" si="334"/>
        <v>0</v>
      </c>
      <c r="AE340" s="25">
        <f t="shared" si="335"/>
        <v>0</v>
      </c>
      <c r="AF340" s="25">
        <f t="shared" si="336"/>
        <v>0</v>
      </c>
      <c r="AG340" s="25">
        <f t="shared" si="337"/>
        <v>0</v>
      </c>
      <c r="AH340" s="25">
        <f t="shared" si="338"/>
        <v>0</v>
      </c>
      <c r="AI340" s="11" t="s">
        <v>46</v>
      </c>
      <c r="AJ340" s="25">
        <f t="shared" si="339"/>
        <v>0</v>
      </c>
      <c r="AK340" s="25">
        <f t="shared" si="340"/>
        <v>0</v>
      </c>
      <c r="AL340" s="25">
        <f t="shared" si="341"/>
        <v>0</v>
      </c>
      <c r="AN340" s="25">
        <v>21</v>
      </c>
      <c r="AO340" s="25">
        <f>G340*0.53</f>
        <v>0</v>
      </c>
      <c r="AP340" s="25">
        <f>G340*(1-0.53)</f>
        <v>0</v>
      </c>
      <c r="AQ340" s="27" t="s">
        <v>76</v>
      </c>
      <c r="AV340" s="25">
        <f t="shared" si="342"/>
        <v>0</v>
      </c>
      <c r="AW340" s="25">
        <f t="shared" si="343"/>
        <v>0</v>
      </c>
      <c r="AX340" s="25">
        <f t="shared" si="344"/>
        <v>0</v>
      </c>
      <c r="AY340" s="27" t="s">
        <v>1027</v>
      </c>
      <c r="AZ340" s="27" t="s">
        <v>585</v>
      </c>
      <c r="BA340" s="11" t="s">
        <v>56</v>
      </c>
      <c r="BC340" s="25">
        <f t="shared" si="345"/>
        <v>0</v>
      </c>
      <c r="BD340" s="25">
        <f t="shared" si="346"/>
        <v>0</v>
      </c>
      <c r="BE340" s="25">
        <v>0</v>
      </c>
      <c r="BF340" s="25">
        <f>340</f>
        <v>340</v>
      </c>
      <c r="BH340" s="25">
        <f t="shared" si="347"/>
        <v>0</v>
      </c>
      <c r="BI340" s="25">
        <f t="shared" si="348"/>
        <v>0</v>
      </c>
      <c r="BJ340" s="25">
        <f t="shared" si="349"/>
        <v>0</v>
      </c>
      <c r="BK340" s="27" t="s">
        <v>57</v>
      </c>
      <c r="BL340" s="25">
        <v>728</v>
      </c>
      <c r="BW340" s="25">
        <v>21</v>
      </c>
      <c r="BX340" s="5" t="s">
        <v>1033</v>
      </c>
    </row>
    <row r="341" spans="1:76" x14ac:dyDescent="0.25">
      <c r="A341" s="2" t="s">
        <v>1034</v>
      </c>
      <c r="B341" s="3" t="s">
        <v>1035</v>
      </c>
      <c r="C341" s="93" t="s">
        <v>1036</v>
      </c>
      <c r="D341" s="94"/>
      <c r="E341" s="3" t="s">
        <v>52</v>
      </c>
      <c r="F341" s="25">
        <v>1</v>
      </c>
      <c r="G341" s="25">
        <v>0</v>
      </c>
      <c r="H341" s="25">
        <f t="shared" si="328"/>
        <v>0</v>
      </c>
      <c r="I341" s="25">
        <f t="shared" si="329"/>
        <v>0</v>
      </c>
      <c r="J341" s="25">
        <f t="shared" si="330"/>
        <v>0</v>
      </c>
      <c r="K341" s="26" t="s">
        <v>53</v>
      </c>
      <c r="Z341" s="25">
        <f t="shared" si="331"/>
        <v>0</v>
      </c>
      <c r="AB341" s="25">
        <f t="shared" si="332"/>
        <v>0</v>
      </c>
      <c r="AC341" s="25">
        <f t="shared" si="333"/>
        <v>0</v>
      </c>
      <c r="AD341" s="25">
        <f t="shared" si="334"/>
        <v>0</v>
      </c>
      <c r="AE341" s="25">
        <f t="shared" si="335"/>
        <v>0</v>
      </c>
      <c r="AF341" s="25">
        <f t="shared" si="336"/>
        <v>0</v>
      </c>
      <c r="AG341" s="25">
        <f t="shared" si="337"/>
        <v>0</v>
      </c>
      <c r="AH341" s="25">
        <f t="shared" si="338"/>
        <v>0</v>
      </c>
      <c r="AI341" s="11" t="s">
        <v>46</v>
      </c>
      <c r="AJ341" s="25">
        <f t="shared" si="339"/>
        <v>0</v>
      </c>
      <c r="AK341" s="25">
        <f t="shared" si="340"/>
        <v>0</v>
      </c>
      <c r="AL341" s="25">
        <f t="shared" si="341"/>
        <v>0</v>
      </c>
      <c r="AN341" s="25">
        <v>21</v>
      </c>
      <c r="AO341" s="25">
        <f>G341*0.53</f>
        <v>0</v>
      </c>
      <c r="AP341" s="25">
        <f>G341*(1-0.53)</f>
        <v>0</v>
      </c>
      <c r="AQ341" s="27" t="s">
        <v>76</v>
      </c>
      <c r="AV341" s="25">
        <f t="shared" si="342"/>
        <v>0</v>
      </c>
      <c r="AW341" s="25">
        <f t="shared" si="343"/>
        <v>0</v>
      </c>
      <c r="AX341" s="25">
        <f t="shared" si="344"/>
        <v>0</v>
      </c>
      <c r="AY341" s="27" t="s">
        <v>1027</v>
      </c>
      <c r="AZ341" s="27" t="s">
        <v>585</v>
      </c>
      <c r="BA341" s="11" t="s">
        <v>56</v>
      </c>
      <c r="BC341" s="25">
        <f t="shared" si="345"/>
        <v>0</v>
      </c>
      <c r="BD341" s="25">
        <f t="shared" si="346"/>
        <v>0</v>
      </c>
      <c r="BE341" s="25">
        <v>0</v>
      </c>
      <c r="BF341" s="25">
        <f>341</f>
        <v>341</v>
      </c>
      <c r="BH341" s="25">
        <f t="shared" si="347"/>
        <v>0</v>
      </c>
      <c r="BI341" s="25">
        <f t="shared" si="348"/>
        <v>0</v>
      </c>
      <c r="BJ341" s="25">
        <f t="shared" si="349"/>
        <v>0</v>
      </c>
      <c r="BK341" s="27" t="s">
        <v>57</v>
      </c>
      <c r="BL341" s="25">
        <v>728</v>
      </c>
      <c r="BW341" s="25">
        <v>21</v>
      </c>
      <c r="BX341" s="5" t="s">
        <v>1036</v>
      </c>
    </row>
    <row r="342" spans="1:76" x14ac:dyDescent="0.25">
      <c r="A342" s="2" t="s">
        <v>1037</v>
      </c>
      <c r="B342" s="3" t="s">
        <v>1038</v>
      </c>
      <c r="C342" s="93" t="s">
        <v>1039</v>
      </c>
      <c r="D342" s="94"/>
      <c r="E342" s="3" t="s">
        <v>52</v>
      </c>
      <c r="F342" s="25">
        <v>1</v>
      </c>
      <c r="G342" s="25">
        <v>0</v>
      </c>
      <c r="H342" s="25">
        <f t="shared" si="328"/>
        <v>0</v>
      </c>
      <c r="I342" s="25">
        <f t="shared" si="329"/>
        <v>0</v>
      </c>
      <c r="J342" s="25">
        <f t="shared" si="330"/>
        <v>0</v>
      </c>
      <c r="K342" s="26" t="s">
        <v>53</v>
      </c>
      <c r="Z342" s="25">
        <f t="shared" si="331"/>
        <v>0</v>
      </c>
      <c r="AB342" s="25">
        <f t="shared" si="332"/>
        <v>0</v>
      </c>
      <c r="AC342" s="25">
        <f t="shared" si="333"/>
        <v>0</v>
      </c>
      <c r="AD342" s="25">
        <f t="shared" si="334"/>
        <v>0</v>
      </c>
      <c r="AE342" s="25">
        <f t="shared" si="335"/>
        <v>0</v>
      </c>
      <c r="AF342" s="25">
        <f t="shared" si="336"/>
        <v>0</v>
      </c>
      <c r="AG342" s="25">
        <f t="shared" si="337"/>
        <v>0</v>
      </c>
      <c r="AH342" s="25">
        <f t="shared" si="338"/>
        <v>0</v>
      </c>
      <c r="AI342" s="11" t="s">
        <v>46</v>
      </c>
      <c r="AJ342" s="25">
        <f t="shared" si="339"/>
        <v>0</v>
      </c>
      <c r="AK342" s="25">
        <f t="shared" si="340"/>
        <v>0</v>
      </c>
      <c r="AL342" s="25">
        <f t="shared" si="341"/>
        <v>0</v>
      </c>
      <c r="AN342" s="25">
        <v>21</v>
      </c>
      <c r="AO342" s="25">
        <f>G342*0.53</f>
        <v>0</v>
      </c>
      <c r="AP342" s="25">
        <f>G342*(1-0.53)</f>
        <v>0</v>
      </c>
      <c r="AQ342" s="27" t="s">
        <v>76</v>
      </c>
      <c r="AV342" s="25">
        <f t="shared" si="342"/>
        <v>0</v>
      </c>
      <c r="AW342" s="25">
        <f t="shared" si="343"/>
        <v>0</v>
      </c>
      <c r="AX342" s="25">
        <f t="shared" si="344"/>
        <v>0</v>
      </c>
      <c r="AY342" s="27" t="s">
        <v>1027</v>
      </c>
      <c r="AZ342" s="27" t="s">
        <v>585</v>
      </c>
      <c r="BA342" s="11" t="s">
        <v>56</v>
      </c>
      <c r="BC342" s="25">
        <f t="shared" si="345"/>
        <v>0</v>
      </c>
      <c r="BD342" s="25">
        <f t="shared" si="346"/>
        <v>0</v>
      </c>
      <c r="BE342" s="25">
        <v>0</v>
      </c>
      <c r="BF342" s="25">
        <f>342</f>
        <v>342</v>
      </c>
      <c r="BH342" s="25">
        <f t="shared" si="347"/>
        <v>0</v>
      </c>
      <c r="BI342" s="25">
        <f t="shared" si="348"/>
        <v>0</v>
      </c>
      <c r="BJ342" s="25">
        <f t="shared" si="349"/>
        <v>0</v>
      </c>
      <c r="BK342" s="27" t="s">
        <v>57</v>
      </c>
      <c r="BL342" s="25">
        <v>728</v>
      </c>
      <c r="BW342" s="25">
        <v>21</v>
      </c>
      <c r="BX342" s="5" t="s">
        <v>1039</v>
      </c>
    </row>
    <row r="343" spans="1:76" x14ac:dyDescent="0.25">
      <c r="A343" s="2" t="s">
        <v>1040</v>
      </c>
      <c r="B343" s="3" t="s">
        <v>1041</v>
      </c>
      <c r="C343" s="93" t="s">
        <v>1042</v>
      </c>
      <c r="D343" s="94"/>
      <c r="E343" s="3" t="s">
        <v>52</v>
      </c>
      <c r="F343" s="25">
        <v>3</v>
      </c>
      <c r="G343" s="25">
        <v>0</v>
      </c>
      <c r="H343" s="25">
        <f t="shared" si="328"/>
        <v>0</v>
      </c>
      <c r="I343" s="25">
        <f t="shared" si="329"/>
        <v>0</v>
      </c>
      <c r="J343" s="25">
        <f t="shared" si="330"/>
        <v>0</v>
      </c>
      <c r="K343" s="26" t="s">
        <v>53</v>
      </c>
      <c r="Z343" s="25">
        <f t="shared" si="331"/>
        <v>0</v>
      </c>
      <c r="AB343" s="25">
        <f t="shared" si="332"/>
        <v>0</v>
      </c>
      <c r="AC343" s="25">
        <f t="shared" si="333"/>
        <v>0</v>
      </c>
      <c r="AD343" s="25">
        <f t="shared" si="334"/>
        <v>0</v>
      </c>
      <c r="AE343" s="25">
        <f t="shared" si="335"/>
        <v>0</v>
      </c>
      <c r="AF343" s="25">
        <f t="shared" si="336"/>
        <v>0</v>
      </c>
      <c r="AG343" s="25">
        <f t="shared" si="337"/>
        <v>0</v>
      </c>
      <c r="AH343" s="25">
        <f t="shared" si="338"/>
        <v>0</v>
      </c>
      <c r="AI343" s="11" t="s">
        <v>46</v>
      </c>
      <c r="AJ343" s="25">
        <f t="shared" si="339"/>
        <v>0</v>
      </c>
      <c r="AK343" s="25">
        <f t="shared" si="340"/>
        <v>0</v>
      </c>
      <c r="AL343" s="25">
        <f t="shared" si="341"/>
        <v>0</v>
      </c>
      <c r="AN343" s="25">
        <v>21</v>
      </c>
      <c r="AO343" s="25">
        <f>G343*0.529999925</f>
        <v>0</v>
      </c>
      <c r="AP343" s="25">
        <f>G343*(1-0.529999925)</f>
        <v>0</v>
      </c>
      <c r="AQ343" s="27" t="s">
        <v>76</v>
      </c>
      <c r="AV343" s="25">
        <f t="shared" si="342"/>
        <v>0</v>
      </c>
      <c r="AW343" s="25">
        <f t="shared" si="343"/>
        <v>0</v>
      </c>
      <c r="AX343" s="25">
        <f t="shared" si="344"/>
        <v>0</v>
      </c>
      <c r="AY343" s="27" t="s">
        <v>1027</v>
      </c>
      <c r="AZ343" s="27" t="s">
        <v>585</v>
      </c>
      <c r="BA343" s="11" t="s">
        <v>56</v>
      </c>
      <c r="BC343" s="25">
        <f t="shared" si="345"/>
        <v>0</v>
      </c>
      <c r="BD343" s="25">
        <f t="shared" si="346"/>
        <v>0</v>
      </c>
      <c r="BE343" s="25">
        <v>0</v>
      </c>
      <c r="BF343" s="25">
        <f>343</f>
        <v>343</v>
      </c>
      <c r="BH343" s="25">
        <f t="shared" si="347"/>
        <v>0</v>
      </c>
      <c r="BI343" s="25">
        <f t="shared" si="348"/>
        <v>0</v>
      </c>
      <c r="BJ343" s="25">
        <f t="shared" si="349"/>
        <v>0</v>
      </c>
      <c r="BK343" s="27" t="s">
        <v>57</v>
      </c>
      <c r="BL343" s="25">
        <v>728</v>
      </c>
      <c r="BW343" s="25">
        <v>21</v>
      </c>
      <c r="BX343" s="5" t="s">
        <v>1042</v>
      </c>
    </row>
    <row r="344" spans="1:76" x14ac:dyDescent="0.25">
      <c r="A344" s="2" t="s">
        <v>1043</v>
      </c>
      <c r="B344" s="3" t="s">
        <v>1044</v>
      </c>
      <c r="C344" s="93" t="s">
        <v>1045</v>
      </c>
      <c r="D344" s="94"/>
      <c r="E344" s="3" t="s">
        <v>52</v>
      </c>
      <c r="F344" s="25">
        <v>22</v>
      </c>
      <c r="G344" s="25">
        <v>0</v>
      </c>
      <c r="H344" s="25">
        <f t="shared" si="328"/>
        <v>0</v>
      </c>
      <c r="I344" s="25">
        <f t="shared" si="329"/>
        <v>0</v>
      </c>
      <c r="J344" s="25">
        <f t="shared" si="330"/>
        <v>0</v>
      </c>
      <c r="K344" s="26" t="s">
        <v>53</v>
      </c>
      <c r="Z344" s="25">
        <f t="shared" si="331"/>
        <v>0</v>
      </c>
      <c r="AB344" s="25">
        <f t="shared" si="332"/>
        <v>0</v>
      </c>
      <c r="AC344" s="25">
        <f t="shared" si="333"/>
        <v>0</v>
      </c>
      <c r="AD344" s="25">
        <f t="shared" si="334"/>
        <v>0</v>
      </c>
      <c r="AE344" s="25">
        <f t="shared" si="335"/>
        <v>0</v>
      </c>
      <c r="AF344" s="25">
        <f t="shared" si="336"/>
        <v>0</v>
      </c>
      <c r="AG344" s="25">
        <f t="shared" si="337"/>
        <v>0</v>
      </c>
      <c r="AH344" s="25">
        <f t="shared" si="338"/>
        <v>0</v>
      </c>
      <c r="AI344" s="11" t="s">
        <v>46</v>
      </c>
      <c r="AJ344" s="25">
        <f t="shared" si="339"/>
        <v>0</v>
      </c>
      <c r="AK344" s="25">
        <f t="shared" si="340"/>
        <v>0</v>
      </c>
      <c r="AL344" s="25">
        <f t="shared" si="341"/>
        <v>0</v>
      </c>
      <c r="AN344" s="25">
        <v>21</v>
      </c>
      <c r="AO344" s="25">
        <f>G344*0.53</f>
        <v>0</v>
      </c>
      <c r="AP344" s="25">
        <f>G344*(1-0.53)</f>
        <v>0</v>
      </c>
      <c r="AQ344" s="27" t="s">
        <v>76</v>
      </c>
      <c r="AV344" s="25">
        <f t="shared" si="342"/>
        <v>0</v>
      </c>
      <c r="AW344" s="25">
        <f t="shared" si="343"/>
        <v>0</v>
      </c>
      <c r="AX344" s="25">
        <f t="shared" si="344"/>
        <v>0</v>
      </c>
      <c r="AY344" s="27" t="s">
        <v>1027</v>
      </c>
      <c r="AZ344" s="27" t="s">
        <v>585</v>
      </c>
      <c r="BA344" s="11" t="s">
        <v>56</v>
      </c>
      <c r="BC344" s="25">
        <f t="shared" si="345"/>
        <v>0</v>
      </c>
      <c r="BD344" s="25">
        <f t="shared" si="346"/>
        <v>0</v>
      </c>
      <c r="BE344" s="25">
        <v>0</v>
      </c>
      <c r="BF344" s="25">
        <f>344</f>
        <v>344</v>
      </c>
      <c r="BH344" s="25">
        <f t="shared" si="347"/>
        <v>0</v>
      </c>
      <c r="BI344" s="25">
        <f t="shared" si="348"/>
        <v>0</v>
      </c>
      <c r="BJ344" s="25">
        <f t="shared" si="349"/>
        <v>0</v>
      </c>
      <c r="BK344" s="27" t="s">
        <v>57</v>
      </c>
      <c r="BL344" s="25">
        <v>728</v>
      </c>
      <c r="BW344" s="25">
        <v>21</v>
      </c>
      <c r="BX344" s="5" t="s">
        <v>1045</v>
      </c>
    </row>
    <row r="345" spans="1:76" x14ac:dyDescent="0.25">
      <c r="A345" s="2" t="s">
        <v>1046</v>
      </c>
      <c r="B345" s="3" t="s">
        <v>1047</v>
      </c>
      <c r="C345" s="93" t="s">
        <v>1048</v>
      </c>
      <c r="D345" s="94"/>
      <c r="E345" s="3" t="s">
        <v>52</v>
      </c>
      <c r="F345" s="25">
        <v>18</v>
      </c>
      <c r="G345" s="25">
        <v>0</v>
      </c>
      <c r="H345" s="25">
        <f t="shared" si="328"/>
        <v>0</v>
      </c>
      <c r="I345" s="25">
        <f t="shared" si="329"/>
        <v>0</v>
      </c>
      <c r="J345" s="25">
        <f t="shared" si="330"/>
        <v>0</v>
      </c>
      <c r="K345" s="26" t="s">
        <v>53</v>
      </c>
      <c r="Z345" s="25">
        <f t="shared" si="331"/>
        <v>0</v>
      </c>
      <c r="AB345" s="25">
        <f t="shared" si="332"/>
        <v>0</v>
      </c>
      <c r="AC345" s="25">
        <f t="shared" si="333"/>
        <v>0</v>
      </c>
      <c r="AD345" s="25">
        <f t="shared" si="334"/>
        <v>0</v>
      </c>
      <c r="AE345" s="25">
        <f t="shared" si="335"/>
        <v>0</v>
      </c>
      <c r="AF345" s="25">
        <f t="shared" si="336"/>
        <v>0</v>
      </c>
      <c r="AG345" s="25">
        <f t="shared" si="337"/>
        <v>0</v>
      </c>
      <c r="AH345" s="25">
        <f t="shared" si="338"/>
        <v>0</v>
      </c>
      <c r="AI345" s="11" t="s">
        <v>46</v>
      </c>
      <c r="AJ345" s="25">
        <f t="shared" si="339"/>
        <v>0</v>
      </c>
      <c r="AK345" s="25">
        <f t="shared" si="340"/>
        <v>0</v>
      </c>
      <c r="AL345" s="25">
        <f t="shared" si="341"/>
        <v>0</v>
      </c>
      <c r="AN345" s="25">
        <v>21</v>
      </c>
      <c r="AO345" s="25">
        <f>G345*0.530000203</f>
        <v>0</v>
      </c>
      <c r="AP345" s="25">
        <f>G345*(1-0.530000203)</f>
        <v>0</v>
      </c>
      <c r="AQ345" s="27" t="s">
        <v>76</v>
      </c>
      <c r="AV345" s="25">
        <f t="shared" si="342"/>
        <v>0</v>
      </c>
      <c r="AW345" s="25">
        <f t="shared" si="343"/>
        <v>0</v>
      </c>
      <c r="AX345" s="25">
        <f t="shared" si="344"/>
        <v>0</v>
      </c>
      <c r="AY345" s="27" t="s">
        <v>1027</v>
      </c>
      <c r="AZ345" s="27" t="s">
        <v>585</v>
      </c>
      <c r="BA345" s="11" t="s">
        <v>56</v>
      </c>
      <c r="BC345" s="25">
        <f t="shared" si="345"/>
        <v>0</v>
      </c>
      <c r="BD345" s="25">
        <f t="shared" si="346"/>
        <v>0</v>
      </c>
      <c r="BE345" s="25">
        <v>0</v>
      </c>
      <c r="BF345" s="25">
        <f>345</f>
        <v>345</v>
      </c>
      <c r="BH345" s="25">
        <f t="shared" si="347"/>
        <v>0</v>
      </c>
      <c r="BI345" s="25">
        <f t="shared" si="348"/>
        <v>0</v>
      </c>
      <c r="BJ345" s="25">
        <f t="shared" si="349"/>
        <v>0</v>
      </c>
      <c r="BK345" s="27" t="s">
        <v>57</v>
      </c>
      <c r="BL345" s="25">
        <v>728</v>
      </c>
      <c r="BW345" s="25">
        <v>21</v>
      </c>
      <c r="BX345" s="5" t="s">
        <v>1048</v>
      </c>
    </row>
    <row r="346" spans="1:76" x14ac:dyDescent="0.25">
      <c r="A346" s="2" t="s">
        <v>1049</v>
      </c>
      <c r="B346" s="3" t="s">
        <v>1050</v>
      </c>
      <c r="C346" s="93" t="s">
        <v>1051</v>
      </c>
      <c r="D346" s="94"/>
      <c r="E346" s="3" t="s">
        <v>1052</v>
      </c>
      <c r="F346" s="25">
        <v>22</v>
      </c>
      <c r="G346" s="25">
        <v>0</v>
      </c>
      <c r="H346" s="25">
        <f t="shared" si="328"/>
        <v>0</v>
      </c>
      <c r="I346" s="25">
        <f t="shared" si="329"/>
        <v>0</v>
      </c>
      <c r="J346" s="25">
        <f t="shared" si="330"/>
        <v>0</v>
      </c>
      <c r="K346" s="26" t="s">
        <v>53</v>
      </c>
      <c r="Z346" s="25">
        <f t="shared" si="331"/>
        <v>0</v>
      </c>
      <c r="AB346" s="25">
        <f t="shared" si="332"/>
        <v>0</v>
      </c>
      <c r="AC346" s="25">
        <f t="shared" si="333"/>
        <v>0</v>
      </c>
      <c r="AD346" s="25">
        <f t="shared" si="334"/>
        <v>0</v>
      </c>
      <c r="AE346" s="25">
        <f t="shared" si="335"/>
        <v>0</v>
      </c>
      <c r="AF346" s="25">
        <f t="shared" si="336"/>
        <v>0</v>
      </c>
      <c r="AG346" s="25">
        <f t="shared" si="337"/>
        <v>0</v>
      </c>
      <c r="AH346" s="25">
        <f t="shared" si="338"/>
        <v>0</v>
      </c>
      <c r="AI346" s="11" t="s">
        <v>46</v>
      </c>
      <c r="AJ346" s="25">
        <f t="shared" si="339"/>
        <v>0</v>
      </c>
      <c r="AK346" s="25">
        <f t="shared" si="340"/>
        <v>0</v>
      </c>
      <c r="AL346" s="25">
        <f t="shared" si="341"/>
        <v>0</v>
      </c>
      <c r="AN346" s="25">
        <v>21</v>
      </c>
      <c r="AO346" s="25">
        <f t="shared" ref="AO346:AO354" si="350">G346*0.53</f>
        <v>0</v>
      </c>
      <c r="AP346" s="25">
        <f t="shared" ref="AP346:AP354" si="351">G346*(1-0.53)</f>
        <v>0</v>
      </c>
      <c r="AQ346" s="27" t="s">
        <v>76</v>
      </c>
      <c r="AV346" s="25">
        <f t="shared" si="342"/>
        <v>0</v>
      </c>
      <c r="AW346" s="25">
        <f t="shared" si="343"/>
        <v>0</v>
      </c>
      <c r="AX346" s="25">
        <f t="shared" si="344"/>
        <v>0</v>
      </c>
      <c r="AY346" s="27" t="s">
        <v>1027</v>
      </c>
      <c r="AZ346" s="27" t="s">
        <v>585</v>
      </c>
      <c r="BA346" s="11" t="s">
        <v>56</v>
      </c>
      <c r="BC346" s="25">
        <f t="shared" si="345"/>
        <v>0</v>
      </c>
      <c r="BD346" s="25">
        <f t="shared" si="346"/>
        <v>0</v>
      </c>
      <c r="BE346" s="25">
        <v>0</v>
      </c>
      <c r="BF346" s="25">
        <f>346</f>
        <v>346</v>
      </c>
      <c r="BH346" s="25">
        <f t="shared" si="347"/>
        <v>0</v>
      </c>
      <c r="BI346" s="25">
        <f t="shared" si="348"/>
        <v>0</v>
      </c>
      <c r="BJ346" s="25">
        <f t="shared" si="349"/>
        <v>0</v>
      </c>
      <c r="BK346" s="27" t="s">
        <v>57</v>
      </c>
      <c r="BL346" s="25">
        <v>728</v>
      </c>
      <c r="BW346" s="25">
        <v>21</v>
      </c>
      <c r="BX346" s="5" t="s">
        <v>1051</v>
      </c>
    </row>
    <row r="347" spans="1:76" x14ac:dyDescent="0.25">
      <c r="A347" s="2" t="s">
        <v>1053</v>
      </c>
      <c r="B347" s="3" t="s">
        <v>1054</v>
      </c>
      <c r="C347" s="93" t="s">
        <v>1055</v>
      </c>
      <c r="D347" s="94"/>
      <c r="E347" s="3" t="s">
        <v>131</v>
      </c>
      <c r="F347" s="25">
        <v>38</v>
      </c>
      <c r="G347" s="25">
        <v>0</v>
      </c>
      <c r="H347" s="25">
        <f t="shared" si="328"/>
        <v>0</v>
      </c>
      <c r="I347" s="25">
        <f t="shared" si="329"/>
        <v>0</v>
      </c>
      <c r="J347" s="25">
        <f t="shared" si="330"/>
        <v>0</v>
      </c>
      <c r="K347" s="26" t="s">
        <v>53</v>
      </c>
      <c r="Z347" s="25">
        <f t="shared" si="331"/>
        <v>0</v>
      </c>
      <c r="AB347" s="25">
        <f t="shared" si="332"/>
        <v>0</v>
      </c>
      <c r="AC347" s="25">
        <f t="shared" si="333"/>
        <v>0</v>
      </c>
      <c r="AD347" s="25">
        <f t="shared" si="334"/>
        <v>0</v>
      </c>
      <c r="AE347" s="25">
        <f t="shared" si="335"/>
        <v>0</v>
      </c>
      <c r="AF347" s="25">
        <f t="shared" si="336"/>
        <v>0</v>
      </c>
      <c r="AG347" s="25">
        <f t="shared" si="337"/>
        <v>0</v>
      </c>
      <c r="AH347" s="25">
        <f t="shared" si="338"/>
        <v>0</v>
      </c>
      <c r="AI347" s="11" t="s">
        <v>46</v>
      </c>
      <c r="AJ347" s="25">
        <f t="shared" si="339"/>
        <v>0</v>
      </c>
      <c r="AK347" s="25">
        <f t="shared" si="340"/>
        <v>0</v>
      </c>
      <c r="AL347" s="25">
        <f t="shared" si="341"/>
        <v>0</v>
      </c>
      <c r="AN347" s="25">
        <v>21</v>
      </c>
      <c r="AO347" s="25">
        <f t="shared" si="350"/>
        <v>0</v>
      </c>
      <c r="AP347" s="25">
        <f t="shared" si="351"/>
        <v>0</v>
      </c>
      <c r="AQ347" s="27" t="s">
        <v>76</v>
      </c>
      <c r="AV347" s="25">
        <f t="shared" si="342"/>
        <v>0</v>
      </c>
      <c r="AW347" s="25">
        <f t="shared" si="343"/>
        <v>0</v>
      </c>
      <c r="AX347" s="25">
        <f t="shared" si="344"/>
        <v>0</v>
      </c>
      <c r="AY347" s="27" t="s">
        <v>1027</v>
      </c>
      <c r="AZ347" s="27" t="s">
        <v>585</v>
      </c>
      <c r="BA347" s="11" t="s">
        <v>56</v>
      </c>
      <c r="BC347" s="25">
        <f t="shared" si="345"/>
        <v>0</v>
      </c>
      <c r="BD347" s="25">
        <f t="shared" si="346"/>
        <v>0</v>
      </c>
      <c r="BE347" s="25">
        <v>0</v>
      </c>
      <c r="BF347" s="25">
        <f>347</f>
        <v>347</v>
      </c>
      <c r="BH347" s="25">
        <f t="shared" si="347"/>
        <v>0</v>
      </c>
      <c r="BI347" s="25">
        <f t="shared" si="348"/>
        <v>0</v>
      </c>
      <c r="BJ347" s="25">
        <f t="shared" si="349"/>
        <v>0</v>
      </c>
      <c r="BK347" s="27" t="s">
        <v>57</v>
      </c>
      <c r="BL347" s="25">
        <v>728</v>
      </c>
      <c r="BW347" s="25">
        <v>21</v>
      </c>
      <c r="BX347" s="5" t="s">
        <v>1055</v>
      </c>
    </row>
    <row r="348" spans="1:76" x14ac:dyDescent="0.25">
      <c r="A348" s="2" t="s">
        <v>1056</v>
      </c>
      <c r="B348" s="3" t="s">
        <v>1057</v>
      </c>
      <c r="C348" s="93" t="s">
        <v>1058</v>
      </c>
      <c r="D348" s="94"/>
      <c r="E348" s="3" t="s">
        <v>131</v>
      </c>
      <c r="F348" s="25">
        <v>17.5</v>
      </c>
      <c r="G348" s="25">
        <v>0</v>
      </c>
      <c r="H348" s="25">
        <f t="shared" si="328"/>
        <v>0</v>
      </c>
      <c r="I348" s="25">
        <f t="shared" si="329"/>
        <v>0</v>
      </c>
      <c r="J348" s="25">
        <f t="shared" si="330"/>
        <v>0</v>
      </c>
      <c r="K348" s="26" t="s">
        <v>53</v>
      </c>
      <c r="Z348" s="25">
        <f t="shared" si="331"/>
        <v>0</v>
      </c>
      <c r="AB348" s="25">
        <f t="shared" si="332"/>
        <v>0</v>
      </c>
      <c r="AC348" s="25">
        <f t="shared" si="333"/>
        <v>0</v>
      </c>
      <c r="AD348" s="25">
        <f t="shared" si="334"/>
        <v>0</v>
      </c>
      <c r="AE348" s="25">
        <f t="shared" si="335"/>
        <v>0</v>
      </c>
      <c r="AF348" s="25">
        <f t="shared" si="336"/>
        <v>0</v>
      </c>
      <c r="AG348" s="25">
        <f t="shared" si="337"/>
        <v>0</v>
      </c>
      <c r="AH348" s="25">
        <f t="shared" si="338"/>
        <v>0</v>
      </c>
      <c r="AI348" s="11" t="s">
        <v>46</v>
      </c>
      <c r="AJ348" s="25">
        <f t="shared" si="339"/>
        <v>0</v>
      </c>
      <c r="AK348" s="25">
        <f t="shared" si="340"/>
        <v>0</v>
      </c>
      <c r="AL348" s="25">
        <f t="shared" si="341"/>
        <v>0</v>
      </c>
      <c r="AN348" s="25">
        <v>21</v>
      </c>
      <c r="AO348" s="25">
        <f t="shared" si="350"/>
        <v>0</v>
      </c>
      <c r="AP348" s="25">
        <f t="shared" si="351"/>
        <v>0</v>
      </c>
      <c r="AQ348" s="27" t="s">
        <v>76</v>
      </c>
      <c r="AV348" s="25">
        <f t="shared" si="342"/>
        <v>0</v>
      </c>
      <c r="AW348" s="25">
        <f t="shared" si="343"/>
        <v>0</v>
      </c>
      <c r="AX348" s="25">
        <f t="shared" si="344"/>
        <v>0</v>
      </c>
      <c r="AY348" s="27" t="s">
        <v>1027</v>
      </c>
      <c r="AZ348" s="27" t="s">
        <v>585</v>
      </c>
      <c r="BA348" s="11" t="s">
        <v>56</v>
      </c>
      <c r="BC348" s="25">
        <f t="shared" si="345"/>
        <v>0</v>
      </c>
      <c r="BD348" s="25">
        <f t="shared" si="346"/>
        <v>0</v>
      </c>
      <c r="BE348" s="25">
        <v>0</v>
      </c>
      <c r="BF348" s="25">
        <f>348</f>
        <v>348</v>
      </c>
      <c r="BH348" s="25">
        <f t="shared" si="347"/>
        <v>0</v>
      </c>
      <c r="BI348" s="25">
        <f t="shared" si="348"/>
        <v>0</v>
      </c>
      <c r="BJ348" s="25">
        <f t="shared" si="349"/>
        <v>0</v>
      </c>
      <c r="BK348" s="27" t="s">
        <v>57</v>
      </c>
      <c r="BL348" s="25">
        <v>728</v>
      </c>
      <c r="BW348" s="25">
        <v>21</v>
      </c>
      <c r="BX348" s="5" t="s">
        <v>1058</v>
      </c>
    </row>
    <row r="349" spans="1:76" x14ac:dyDescent="0.25">
      <c r="A349" s="2" t="s">
        <v>1059</v>
      </c>
      <c r="B349" s="3" t="s">
        <v>1060</v>
      </c>
      <c r="C349" s="93" t="s">
        <v>1061</v>
      </c>
      <c r="D349" s="94"/>
      <c r="E349" s="3" t="s">
        <v>131</v>
      </c>
      <c r="F349" s="25">
        <v>51.5</v>
      </c>
      <c r="G349" s="25">
        <v>0</v>
      </c>
      <c r="H349" s="25">
        <f t="shared" si="328"/>
        <v>0</v>
      </c>
      <c r="I349" s="25">
        <f t="shared" si="329"/>
        <v>0</v>
      </c>
      <c r="J349" s="25">
        <f t="shared" si="330"/>
        <v>0</v>
      </c>
      <c r="K349" s="26" t="s">
        <v>53</v>
      </c>
      <c r="Z349" s="25">
        <f t="shared" si="331"/>
        <v>0</v>
      </c>
      <c r="AB349" s="25">
        <f t="shared" si="332"/>
        <v>0</v>
      </c>
      <c r="AC349" s="25">
        <f t="shared" si="333"/>
        <v>0</v>
      </c>
      <c r="AD349" s="25">
        <f t="shared" si="334"/>
        <v>0</v>
      </c>
      <c r="AE349" s="25">
        <f t="shared" si="335"/>
        <v>0</v>
      </c>
      <c r="AF349" s="25">
        <f t="shared" si="336"/>
        <v>0</v>
      </c>
      <c r="AG349" s="25">
        <f t="shared" si="337"/>
        <v>0</v>
      </c>
      <c r="AH349" s="25">
        <f t="shared" si="338"/>
        <v>0</v>
      </c>
      <c r="AI349" s="11" t="s">
        <v>46</v>
      </c>
      <c r="AJ349" s="25">
        <f t="shared" si="339"/>
        <v>0</v>
      </c>
      <c r="AK349" s="25">
        <f t="shared" si="340"/>
        <v>0</v>
      </c>
      <c r="AL349" s="25">
        <f t="shared" si="341"/>
        <v>0</v>
      </c>
      <c r="AN349" s="25">
        <v>21</v>
      </c>
      <c r="AO349" s="25">
        <f t="shared" si="350"/>
        <v>0</v>
      </c>
      <c r="AP349" s="25">
        <f t="shared" si="351"/>
        <v>0</v>
      </c>
      <c r="AQ349" s="27" t="s">
        <v>76</v>
      </c>
      <c r="AV349" s="25">
        <f t="shared" si="342"/>
        <v>0</v>
      </c>
      <c r="AW349" s="25">
        <f t="shared" si="343"/>
        <v>0</v>
      </c>
      <c r="AX349" s="25">
        <f t="shared" si="344"/>
        <v>0</v>
      </c>
      <c r="AY349" s="27" t="s">
        <v>1027</v>
      </c>
      <c r="AZ349" s="27" t="s">
        <v>585</v>
      </c>
      <c r="BA349" s="11" t="s">
        <v>56</v>
      </c>
      <c r="BC349" s="25">
        <f t="shared" si="345"/>
        <v>0</v>
      </c>
      <c r="BD349" s="25">
        <f t="shared" si="346"/>
        <v>0</v>
      </c>
      <c r="BE349" s="25">
        <v>0</v>
      </c>
      <c r="BF349" s="25">
        <f>349</f>
        <v>349</v>
      </c>
      <c r="BH349" s="25">
        <f t="shared" si="347"/>
        <v>0</v>
      </c>
      <c r="BI349" s="25">
        <f t="shared" si="348"/>
        <v>0</v>
      </c>
      <c r="BJ349" s="25">
        <f t="shared" si="349"/>
        <v>0</v>
      </c>
      <c r="BK349" s="27" t="s">
        <v>57</v>
      </c>
      <c r="BL349" s="25">
        <v>728</v>
      </c>
      <c r="BW349" s="25">
        <v>21</v>
      </c>
      <c r="BX349" s="5" t="s">
        <v>1061</v>
      </c>
    </row>
    <row r="350" spans="1:76" x14ac:dyDescent="0.25">
      <c r="A350" s="2" t="s">
        <v>1062</v>
      </c>
      <c r="B350" s="3" t="s">
        <v>1063</v>
      </c>
      <c r="C350" s="93" t="s">
        <v>1064</v>
      </c>
      <c r="D350" s="94"/>
      <c r="E350" s="3" t="s">
        <v>131</v>
      </c>
      <c r="F350" s="25">
        <v>13.5</v>
      </c>
      <c r="G350" s="25">
        <v>0</v>
      </c>
      <c r="H350" s="25">
        <f t="shared" si="328"/>
        <v>0</v>
      </c>
      <c r="I350" s="25">
        <f t="shared" si="329"/>
        <v>0</v>
      </c>
      <c r="J350" s="25">
        <f t="shared" si="330"/>
        <v>0</v>
      </c>
      <c r="K350" s="26" t="s">
        <v>53</v>
      </c>
      <c r="Z350" s="25">
        <f t="shared" si="331"/>
        <v>0</v>
      </c>
      <c r="AB350" s="25">
        <f t="shared" si="332"/>
        <v>0</v>
      </c>
      <c r="AC350" s="25">
        <f t="shared" si="333"/>
        <v>0</v>
      </c>
      <c r="AD350" s="25">
        <f t="shared" si="334"/>
        <v>0</v>
      </c>
      <c r="AE350" s="25">
        <f t="shared" si="335"/>
        <v>0</v>
      </c>
      <c r="AF350" s="25">
        <f t="shared" si="336"/>
        <v>0</v>
      </c>
      <c r="AG350" s="25">
        <f t="shared" si="337"/>
        <v>0</v>
      </c>
      <c r="AH350" s="25">
        <f t="shared" si="338"/>
        <v>0</v>
      </c>
      <c r="AI350" s="11" t="s">
        <v>46</v>
      </c>
      <c r="AJ350" s="25">
        <f t="shared" si="339"/>
        <v>0</v>
      </c>
      <c r="AK350" s="25">
        <f t="shared" si="340"/>
        <v>0</v>
      </c>
      <c r="AL350" s="25">
        <f t="shared" si="341"/>
        <v>0</v>
      </c>
      <c r="AN350" s="25">
        <v>21</v>
      </c>
      <c r="AO350" s="25">
        <f t="shared" si="350"/>
        <v>0</v>
      </c>
      <c r="AP350" s="25">
        <f t="shared" si="351"/>
        <v>0</v>
      </c>
      <c r="AQ350" s="27" t="s">
        <v>76</v>
      </c>
      <c r="AV350" s="25">
        <f t="shared" si="342"/>
        <v>0</v>
      </c>
      <c r="AW350" s="25">
        <f t="shared" si="343"/>
        <v>0</v>
      </c>
      <c r="AX350" s="25">
        <f t="shared" si="344"/>
        <v>0</v>
      </c>
      <c r="AY350" s="27" t="s">
        <v>1027</v>
      </c>
      <c r="AZ350" s="27" t="s">
        <v>585</v>
      </c>
      <c r="BA350" s="11" t="s">
        <v>56</v>
      </c>
      <c r="BC350" s="25">
        <f t="shared" si="345"/>
        <v>0</v>
      </c>
      <c r="BD350" s="25">
        <f t="shared" si="346"/>
        <v>0</v>
      </c>
      <c r="BE350" s="25">
        <v>0</v>
      </c>
      <c r="BF350" s="25">
        <f>350</f>
        <v>350</v>
      </c>
      <c r="BH350" s="25">
        <f t="shared" si="347"/>
        <v>0</v>
      </c>
      <c r="BI350" s="25">
        <f t="shared" si="348"/>
        <v>0</v>
      </c>
      <c r="BJ350" s="25">
        <f t="shared" si="349"/>
        <v>0</v>
      </c>
      <c r="BK350" s="27" t="s">
        <v>57</v>
      </c>
      <c r="BL350" s="25">
        <v>728</v>
      </c>
      <c r="BW350" s="25">
        <v>21</v>
      </c>
      <c r="BX350" s="5" t="s">
        <v>1064</v>
      </c>
    </row>
    <row r="351" spans="1:76" x14ac:dyDescent="0.25">
      <c r="A351" s="2" t="s">
        <v>1065</v>
      </c>
      <c r="B351" s="3" t="s">
        <v>1066</v>
      </c>
      <c r="C351" s="93" t="s">
        <v>1067</v>
      </c>
      <c r="D351" s="94"/>
      <c r="E351" s="3" t="s">
        <v>131</v>
      </c>
      <c r="F351" s="25">
        <v>49</v>
      </c>
      <c r="G351" s="25">
        <v>0</v>
      </c>
      <c r="H351" s="25">
        <f t="shared" si="328"/>
        <v>0</v>
      </c>
      <c r="I351" s="25">
        <f t="shared" si="329"/>
        <v>0</v>
      </c>
      <c r="J351" s="25">
        <f t="shared" si="330"/>
        <v>0</v>
      </c>
      <c r="K351" s="26" t="s">
        <v>53</v>
      </c>
      <c r="Z351" s="25">
        <f t="shared" si="331"/>
        <v>0</v>
      </c>
      <c r="AB351" s="25">
        <f t="shared" si="332"/>
        <v>0</v>
      </c>
      <c r="AC351" s="25">
        <f t="shared" si="333"/>
        <v>0</v>
      </c>
      <c r="AD351" s="25">
        <f t="shared" si="334"/>
        <v>0</v>
      </c>
      <c r="AE351" s="25">
        <f t="shared" si="335"/>
        <v>0</v>
      </c>
      <c r="AF351" s="25">
        <f t="shared" si="336"/>
        <v>0</v>
      </c>
      <c r="AG351" s="25">
        <f t="shared" si="337"/>
        <v>0</v>
      </c>
      <c r="AH351" s="25">
        <f t="shared" si="338"/>
        <v>0</v>
      </c>
      <c r="AI351" s="11" t="s">
        <v>46</v>
      </c>
      <c r="AJ351" s="25">
        <f t="shared" si="339"/>
        <v>0</v>
      </c>
      <c r="AK351" s="25">
        <f t="shared" si="340"/>
        <v>0</v>
      </c>
      <c r="AL351" s="25">
        <f t="shared" si="341"/>
        <v>0</v>
      </c>
      <c r="AN351" s="25">
        <v>21</v>
      </c>
      <c r="AO351" s="25">
        <f t="shared" si="350"/>
        <v>0</v>
      </c>
      <c r="AP351" s="25">
        <f t="shared" si="351"/>
        <v>0</v>
      </c>
      <c r="AQ351" s="27" t="s">
        <v>76</v>
      </c>
      <c r="AV351" s="25">
        <f t="shared" si="342"/>
        <v>0</v>
      </c>
      <c r="AW351" s="25">
        <f t="shared" si="343"/>
        <v>0</v>
      </c>
      <c r="AX351" s="25">
        <f t="shared" si="344"/>
        <v>0</v>
      </c>
      <c r="AY351" s="27" t="s">
        <v>1027</v>
      </c>
      <c r="AZ351" s="27" t="s">
        <v>585</v>
      </c>
      <c r="BA351" s="11" t="s">
        <v>56</v>
      </c>
      <c r="BC351" s="25">
        <f t="shared" si="345"/>
        <v>0</v>
      </c>
      <c r="BD351" s="25">
        <f t="shared" si="346"/>
        <v>0</v>
      </c>
      <c r="BE351" s="25">
        <v>0</v>
      </c>
      <c r="BF351" s="25">
        <f>351</f>
        <v>351</v>
      </c>
      <c r="BH351" s="25">
        <f t="shared" si="347"/>
        <v>0</v>
      </c>
      <c r="BI351" s="25">
        <f t="shared" si="348"/>
        <v>0</v>
      </c>
      <c r="BJ351" s="25">
        <f t="shared" si="349"/>
        <v>0</v>
      </c>
      <c r="BK351" s="27" t="s">
        <v>57</v>
      </c>
      <c r="BL351" s="25">
        <v>728</v>
      </c>
      <c r="BW351" s="25">
        <v>21</v>
      </c>
      <c r="BX351" s="5" t="s">
        <v>1067</v>
      </c>
    </row>
    <row r="352" spans="1:76" x14ac:dyDescent="0.25">
      <c r="A352" s="2" t="s">
        <v>1068</v>
      </c>
      <c r="B352" s="3" t="s">
        <v>1069</v>
      </c>
      <c r="C352" s="93" t="s">
        <v>1070</v>
      </c>
      <c r="D352" s="94"/>
      <c r="E352" s="3" t="s">
        <v>131</v>
      </c>
      <c r="F352" s="25">
        <v>5.5</v>
      </c>
      <c r="G352" s="25">
        <v>0</v>
      </c>
      <c r="H352" s="25">
        <f t="shared" si="328"/>
        <v>0</v>
      </c>
      <c r="I352" s="25">
        <f t="shared" si="329"/>
        <v>0</v>
      </c>
      <c r="J352" s="25">
        <f t="shared" si="330"/>
        <v>0</v>
      </c>
      <c r="K352" s="26" t="s">
        <v>53</v>
      </c>
      <c r="Z352" s="25">
        <f t="shared" si="331"/>
        <v>0</v>
      </c>
      <c r="AB352" s="25">
        <f t="shared" si="332"/>
        <v>0</v>
      </c>
      <c r="AC352" s="25">
        <f t="shared" si="333"/>
        <v>0</v>
      </c>
      <c r="AD352" s="25">
        <f t="shared" si="334"/>
        <v>0</v>
      </c>
      <c r="AE352" s="25">
        <f t="shared" si="335"/>
        <v>0</v>
      </c>
      <c r="AF352" s="25">
        <f t="shared" si="336"/>
        <v>0</v>
      </c>
      <c r="AG352" s="25">
        <f t="shared" si="337"/>
        <v>0</v>
      </c>
      <c r="AH352" s="25">
        <f t="shared" si="338"/>
        <v>0</v>
      </c>
      <c r="AI352" s="11" t="s">
        <v>46</v>
      </c>
      <c r="AJ352" s="25">
        <f t="shared" si="339"/>
        <v>0</v>
      </c>
      <c r="AK352" s="25">
        <f t="shared" si="340"/>
        <v>0</v>
      </c>
      <c r="AL352" s="25">
        <f t="shared" si="341"/>
        <v>0</v>
      </c>
      <c r="AN352" s="25">
        <v>21</v>
      </c>
      <c r="AO352" s="25">
        <f t="shared" si="350"/>
        <v>0</v>
      </c>
      <c r="AP352" s="25">
        <f t="shared" si="351"/>
        <v>0</v>
      </c>
      <c r="AQ352" s="27" t="s">
        <v>76</v>
      </c>
      <c r="AV352" s="25">
        <f t="shared" si="342"/>
        <v>0</v>
      </c>
      <c r="AW352" s="25">
        <f t="shared" si="343"/>
        <v>0</v>
      </c>
      <c r="AX352" s="25">
        <f t="shared" si="344"/>
        <v>0</v>
      </c>
      <c r="AY352" s="27" t="s">
        <v>1027</v>
      </c>
      <c r="AZ352" s="27" t="s">
        <v>585</v>
      </c>
      <c r="BA352" s="11" t="s">
        <v>56</v>
      </c>
      <c r="BC352" s="25">
        <f t="shared" si="345"/>
        <v>0</v>
      </c>
      <c r="BD352" s="25">
        <f t="shared" si="346"/>
        <v>0</v>
      </c>
      <c r="BE352" s="25">
        <v>0</v>
      </c>
      <c r="BF352" s="25">
        <f>352</f>
        <v>352</v>
      </c>
      <c r="BH352" s="25">
        <f t="shared" si="347"/>
        <v>0</v>
      </c>
      <c r="BI352" s="25">
        <f t="shared" si="348"/>
        <v>0</v>
      </c>
      <c r="BJ352" s="25">
        <f t="shared" si="349"/>
        <v>0</v>
      </c>
      <c r="BK352" s="27" t="s">
        <v>57</v>
      </c>
      <c r="BL352" s="25">
        <v>728</v>
      </c>
      <c r="BW352" s="25">
        <v>21</v>
      </c>
      <c r="BX352" s="5" t="s">
        <v>1070</v>
      </c>
    </row>
    <row r="353" spans="1:76" x14ac:dyDescent="0.25">
      <c r="A353" s="2" t="s">
        <v>1071</v>
      </c>
      <c r="B353" s="3" t="s">
        <v>1072</v>
      </c>
      <c r="C353" s="93" t="s">
        <v>1073</v>
      </c>
      <c r="D353" s="94"/>
      <c r="E353" s="3" t="s">
        <v>131</v>
      </c>
      <c r="F353" s="25">
        <v>19</v>
      </c>
      <c r="G353" s="25">
        <v>0</v>
      </c>
      <c r="H353" s="25">
        <f t="shared" si="328"/>
        <v>0</v>
      </c>
      <c r="I353" s="25">
        <f t="shared" si="329"/>
        <v>0</v>
      </c>
      <c r="J353" s="25">
        <f t="shared" si="330"/>
        <v>0</v>
      </c>
      <c r="K353" s="26" t="s">
        <v>53</v>
      </c>
      <c r="Z353" s="25">
        <f t="shared" si="331"/>
        <v>0</v>
      </c>
      <c r="AB353" s="25">
        <f t="shared" si="332"/>
        <v>0</v>
      </c>
      <c r="AC353" s="25">
        <f t="shared" si="333"/>
        <v>0</v>
      </c>
      <c r="AD353" s="25">
        <f t="shared" si="334"/>
        <v>0</v>
      </c>
      <c r="AE353" s="25">
        <f t="shared" si="335"/>
        <v>0</v>
      </c>
      <c r="AF353" s="25">
        <f t="shared" si="336"/>
        <v>0</v>
      </c>
      <c r="AG353" s="25">
        <f t="shared" si="337"/>
        <v>0</v>
      </c>
      <c r="AH353" s="25">
        <f t="shared" si="338"/>
        <v>0</v>
      </c>
      <c r="AI353" s="11" t="s">
        <v>46</v>
      </c>
      <c r="AJ353" s="25">
        <f t="shared" si="339"/>
        <v>0</v>
      </c>
      <c r="AK353" s="25">
        <f t="shared" si="340"/>
        <v>0</v>
      </c>
      <c r="AL353" s="25">
        <f t="shared" si="341"/>
        <v>0</v>
      </c>
      <c r="AN353" s="25">
        <v>21</v>
      </c>
      <c r="AO353" s="25">
        <f t="shared" si="350"/>
        <v>0</v>
      </c>
      <c r="AP353" s="25">
        <f t="shared" si="351"/>
        <v>0</v>
      </c>
      <c r="AQ353" s="27" t="s">
        <v>76</v>
      </c>
      <c r="AV353" s="25">
        <f t="shared" si="342"/>
        <v>0</v>
      </c>
      <c r="AW353" s="25">
        <f t="shared" si="343"/>
        <v>0</v>
      </c>
      <c r="AX353" s="25">
        <f t="shared" si="344"/>
        <v>0</v>
      </c>
      <c r="AY353" s="27" t="s">
        <v>1027</v>
      </c>
      <c r="AZ353" s="27" t="s">
        <v>585</v>
      </c>
      <c r="BA353" s="11" t="s">
        <v>56</v>
      </c>
      <c r="BC353" s="25">
        <f t="shared" si="345"/>
        <v>0</v>
      </c>
      <c r="BD353" s="25">
        <f t="shared" si="346"/>
        <v>0</v>
      </c>
      <c r="BE353" s="25">
        <v>0</v>
      </c>
      <c r="BF353" s="25">
        <f>353</f>
        <v>353</v>
      </c>
      <c r="BH353" s="25">
        <f t="shared" si="347"/>
        <v>0</v>
      </c>
      <c r="BI353" s="25">
        <f t="shared" si="348"/>
        <v>0</v>
      </c>
      <c r="BJ353" s="25">
        <f t="shared" si="349"/>
        <v>0</v>
      </c>
      <c r="BK353" s="27" t="s">
        <v>57</v>
      </c>
      <c r="BL353" s="25">
        <v>728</v>
      </c>
      <c r="BW353" s="25">
        <v>21</v>
      </c>
      <c r="BX353" s="5" t="s">
        <v>1073</v>
      </c>
    </row>
    <row r="354" spans="1:76" x14ac:dyDescent="0.25">
      <c r="A354" s="2" t="s">
        <v>1074</v>
      </c>
      <c r="B354" s="3" t="s">
        <v>1075</v>
      </c>
      <c r="C354" s="93" t="s">
        <v>1076</v>
      </c>
      <c r="D354" s="94"/>
      <c r="E354" s="3" t="s">
        <v>131</v>
      </c>
      <c r="F354" s="25">
        <v>45</v>
      </c>
      <c r="G354" s="25">
        <v>0</v>
      </c>
      <c r="H354" s="25">
        <f t="shared" si="328"/>
        <v>0</v>
      </c>
      <c r="I354" s="25">
        <f t="shared" si="329"/>
        <v>0</v>
      </c>
      <c r="J354" s="25">
        <f t="shared" si="330"/>
        <v>0</v>
      </c>
      <c r="K354" s="26" t="s">
        <v>53</v>
      </c>
      <c r="Z354" s="25">
        <f t="shared" si="331"/>
        <v>0</v>
      </c>
      <c r="AB354" s="25">
        <f t="shared" si="332"/>
        <v>0</v>
      </c>
      <c r="AC354" s="25">
        <f t="shared" si="333"/>
        <v>0</v>
      </c>
      <c r="AD354" s="25">
        <f t="shared" si="334"/>
        <v>0</v>
      </c>
      <c r="AE354" s="25">
        <f t="shared" si="335"/>
        <v>0</v>
      </c>
      <c r="AF354" s="25">
        <f t="shared" si="336"/>
        <v>0</v>
      </c>
      <c r="AG354" s="25">
        <f t="shared" si="337"/>
        <v>0</v>
      </c>
      <c r="AH354" s="25">
        <f t="shared" si="338"/>
        <v>0</v>
      </c>
      <c r="AI354" s="11" t="s">
        <v>46</v>
      </c>
      <c r="AJ354" s="25">
        <f t="shared" si="339"/>
        <v>0</v>
      </c>
      <c r="AK354" s="25">
        <f t="shared" si="340"/>
        <v>0</v>
      </c>
      <c r="AL354" s="25">
        <f t="shared" si="341"/>
        <v>0</v>
      </c>
      <c r="AN354" s="25">
        <v>21</v>
      </c>
      <c r="AO354" s="25">
        <f t="shared" si="350"/>
        <v>0</v>
      </c>
      <c r="AP354" s="25">
        <f t="shared" si="351"/>
        <v>0</v>
      </c>
      <c r="AQ354" s="27" t="s">
        <v>76</v>
      </c>
      <c r="AV354" s="25">
        <f t="shared" si="342"/>
        <v>0</v>
      </c>
      <c r="AW354" s="25">
        <f t="shared" si="343"/>
        <v>0</v>
      </c>
      <c r="AX354" s="25">
        <f t="shared" si="344"/>
        <v>0</v>
      </c>
      <c r="AY354" s="27" t="s">
        <v>1027</v>
      </c>
      <c r="AZ354" s="27" t="s">
        <v>585</v>
      </c>
      <c r="BA354" s="11" t="s">
        <v>56</v>
      </c>
      <c r="BC354" s="25">
        <f t="shared" si="345"/>
        <v>0</v>
      </c>
      <c r="BD354" s="25">
        <f t="shared" si="346"/>
        <v>0</v>
      </c>
      <c r="BE354" s="25">
        <v>0</v>
      </c>
      <c r="BF354" s="25">
        <f>354</f>
        <v>354</v>
      </c>
      <c r="BH354" s="25">
        <f t="shared" si="347"/>
        <v>0</v>
      </c>
      <c r="BI354" s="25">
        <f t="shared" si="348"/>
        <v>0</v>
      </c>
      <c r="BJ354" s="25">
        <f t="shared" si="349"/>
        <v>0</v>
      </c>
      <c r="BK354" s="27" t="s">
        <v>57</v>
      </c>
      <c r="BL354" s="25">
        <v>728</v>
      </c>
      <c r="BW354" s="25">
        <v>21</v>
      </c>
      <c r="BX354" s="5" t="s">
        <v>1076</v>
      </c>
    </row>
    <row r="355" spans="1:76" x14ac:dyDescent="0.25">
      <c r="A355" s="2" t="s">
        <v>1077</v>
      </c>
      <c r="B355" s="3" t="s">
        <v>1078</v>
      </c>
      <c r="C355" s="93" t="s">
        <v>1079</v>
      </c>
      <c r="D355" s="94"/>
      <c r="E355" s="3" t="s">
        <v>1080</v>
      </c>
      <c r="F355" s="25">
        <v>1</v>
      </c>
      <c r="G355" s="25">
        <v>0</v>
      </c>
      <c r="H355" s="25">
        <f t="shared" si="328"/>
        <v>0</v>
      </c>
      <c r="I355" s="25">
        <f t="shared" si="329"/>
        <v>0</v>
      </c>
      <c r="J355" s="25">
        <f t="shared" si="330"/>
        <v>0</v>
      </c>
      <c r="K355" s="26" t="s">
        <v>53</v>
      </c>
      <c r="Z355" s="25">
        <f t="shared" si="331"/>
        <v>0</v>
      </c>
      <c r="AB355" s="25">
        <f t="shared" si="332"/>
        <v>0</v>
      </c>
      <c r="AC355" s="25">
        <f t="shared" si="333"/>
        <v>0</v>
      </c>
      <c r="AD355" s="25">
        <f t="shared" si="334"/>
        <v>0</v>
      </c>
      <c r="AE355" s="25">
        <f t="shared" si="335"/>
        <v>0</v>
      </c>
      <c r="AF355" s="25">
        <f t="shared" si="336"/>
        <v>0</v>
      </c>
      <c r="AG355" s="25">
        <f t="shared" si="337"/>
        <v>0</v>
      </c>
      <c r="AH355" s="25">
        <f t="shared" si="338"/>
        <v>0</v>
      </c>
      <c r="AI355" s="11" t="s">
        <v>46</v>
      </c>
      <c r="AJ355" s="25">
        <f t="shared" si="339"/>
        <v>0</v>
      </c>
      <c r="AK355" s="25">
        <f t="shared" si="340"/>
        <v>0</v>
      </c>
      <c r="AL355" s="25">
        <f t="shared" si="341"/>
        <v>0</v>
      </c>
      <c r="AN355" s="25">
        <v>21</v>
      </c>
      <c r="AO355" s="25">
        <f>G355*0</f>
        <v>0</v>
      </c>
      <c r="AP355" s="25">
        <f>G355*(1-0)</f>
        <v>0</v>
      </c>
      <c r="AQ355" s="27" t="s">
        <v>76</v>
      </c>
      <c r="AV355" s="25">
        <f t="shared" si="342"/>
        <v>0</v>
      </c>
      <c r="AW355" s="25">
        <f t="shared" si="343"/>
        <v>0</v>
      </c>
      <c r="AX355" s="25">
        <f t="shared" si="344"/>
        <v>0</v>
      </c>
      <c r="AY355" s="27" t="s">
        <v>1027</v>
      </c>
      <c r="AZ355" s="27" t="s">
        <v>585</v>
      </c>
      <c r="BA355" s="11" t="s">
        <v>56</v>
      </c>
      <c r="BC355" s="25">
        <f t="shared" si="345"/>
        <v>0</v>
      </c>
      <c r="BD355" s="25">
        <f t="shared" si="346"/>
        <v>0</v>
      </c>
      <c r="BE355" s="25">
        <v>0</v>
      </c>
      <c r="BF355" s="25">
        <f>355</f>
        <v>355</v>
      </c>
      <c r="BH355" s="25">
        <f t="shared" si="347"/>
        <v>0</v>
      </c>
      <c r="BI355" s="25">
        <f t="shared" si="348"/>
        <v>0</v>
      </c>
      <c r="BJ355" s="25">
        <f t="shared" si="349"/>
        <v>0</v>
      </c>
      <c r="BK355" s="27" t="s">
        <v>57</v>
      </c>
      <c r="BL355" s="25">
        <v>728</v>
      </c>
      <c r="BW355" s="25">
        <v>21</v>
      </c>
      <c r="BX355" s="5" t="s">
        <v>1079</v>
      </c>
    </row>
    <row r="356" spans="1:76" x14ac:dyDescent="0.25">
      <c r="A356" s="2" t="s">
        <v>1081</v>
      </c>
      <c r="B356" s="3" t="s">
        <v>1082</v>
      </c>
      <c r="C356" s="93" t="s">
        <v>1083</v>
      </c>
      <c r="D356" s="94"/>
      <c r="E356" s="3" t="s">
        <v>52</v>
      </c>
      <c r="F356" s="25">
        <v>1</v>
      </c>
      <c r="G356" s="25">
        <v>0</v>
      </c>
      <c r="H356" s="25">
        <f t="shared" si="328"/>
        <v>0</v>
      </c>
      <c r="I356" s="25">
        <f t="shared" si="329"/>
        <v>0</v>
      </c>
      <c r="J356" s="25">
        <f t="shared" si="330"/>
        <v>0</v>
      </c>
      <c r="K356" s="26" t="s">
        <v>53</v>
      </c>
      <c r="Z356" s="25">
        <f t="shared" si="331"/>
        <v>0</v>
      </c>
      <c r="AB356" s="25">
        <f t="shared" si="332"/>
        <v>0</v>
      </c>
      <c r="AC356" s="25">
        <f t="shared" si="333"/>
        <v>0</v>
      </c>
      <c r="AD356" s="25">
        <f t="shared" si="334"/>
        <v>0</v>
      </c>
      <c r="AE356" s="25">
        <f t="shared" si="335"/>
        <v>0</v>
      </c>
      <c r="AF356" s="25">
        <f t="shared" si="336"/>
        <v>0</v>
      </c>
      <c r="AG356" s="25">
        <f t="shared" si="337"/>
        <v>0</v>
      </c>
      <c r="AH356" s="25">
        <f t="shared" si="338"/>
        <v>0</v>
      </c>
      <c r="AI356" s="11" t="s">
        <v>46</v>
      </c>
      <c r="AJ356" s="25">
        <f t="shared" si="339"/>
        <v>0</v>
      </c>
      <c r="AK356" s="25">
        <f t="shared" si="340"/>
        <v>0</v>
      </c>
      <c r="AL356" s="25">
        <f t="shared" si="341"/>
        <v>0</v>
      </c>
      <c r="AN356" s="25">
        <v>21</v>
      </c>
      <c r="AO356" s="25">
        <f>G356*0</f>
        <v>0</v>
      </c>
      <c r="AP356" s="25">
        <f>G356*(1-0)</f>
        <v>0</v>
      </c>
      <c r="AQ356" s="27" t="s">
        <v>76</v>
      </c>
      <c r="AV356" s="25">
        <f t="shared" si="342"/>
        <v>0</v>
      </c>
      <c r="AW356" s="25">
        <f t="shared" si="343"/>
        <v>0</v>
      </c>
      <c r="AX356" s="25">
        <f t="shared" si="344"/>
        <v>0</v>
      </c>
      <c r="AY356" s="27" t="s">
        <v>1027</v>
      </c>
      <c r="AZ356" s="27" t="s">
        <v>585</v>
      </c>
      <c r="BA356" s="11" t="s">
        <v>56</v>
      </c>
      <c r="BC356" s="25">
        <f t="shared" si="345"/>
        <v>0</v>
      </c>
      <c r="BD356" s="25">
        <f t="shared" si="346"/>
        <v>0</v>
      </c>
      <c r="BE356" s="25">
        <v>0</v>
      </c>
      <c r="BF356" s="25">
        <f>356</f>
        <v>356</v>
      </c>
      <c r="BH356" s="25">
        <f t="shared" si="347"/>
        <v>0</v>
      </c>
      <c r="BI356" s="25">
        <f t="shared" si="348"/>
        <v>0</v>
      </c>
      <c r="BJ356" s="25">
        <f t="shared" si="349"/>
        <v>0</v>
      </c>
      <c r="BK356" s="27" t="s">
        <v>57</v>
      </c>
      <c r="BL356" s="25">
        <v>728</v>
      </c>
      <c r="BW356" s="25">
        <v>21</v>
      </c>
      <c r="BX356" s="5" t="s">
        <v>1083</v>
      </c>
    </row>
    <row r="357" spans="1:76" x14ac:dyDescent="0.25">
      <c r="A357" s="2" t="s">
        <v>1084</v>
      </c>
      <c r="B357" s="3" t="s">
        <v>1085</v>
      </c>
      <c r="C357" s="93" t="s">
        <v>1086</v>
      </c>
      <c r="D357" s="94"/>
      <c r="E357" s="3" t="s">
        <v>1080</v>
      </c>
      <c r="F357" s="25">
        <v>1</v>
      </c>
      <c r="G357" s="25">
        <v>0</v>
      </c>
      <c r="H357" s="25">
        <f t="shared" si="328"/>
        <v>0</v>
      </c>
      <c r="I357" s="25">
        <f t="shared" si="329"/>
        <v>0</v>
      </c>
      <c r="J357" s="25">
        <f t="shared" si="330"/>
        <v>0</v>
      </c>
      <c r="K357" s="26" t="s">
        <v>53</v>
      </c>
      <c r="Z357" s="25">
        <f t="shared" si="331"/>
        <v>0</v>
      </c>
      <c r="AB357" s="25">
        <f t="shared" si="332"/>
        <v>0</v>
      </c>
      <c r="AC357" s="25">
        <f t="shared" si="333"/>
        <v>0</v>
      </c>
      <c r="AD357" s="25">
        <f t="shared" si="334"/>
        <v>0</v>
      </c>
      <c r="AE357" s="25">
        <f t="shared" si="335"/>
        <v>0</v>
      </c>
      <c r="AF357" s="25">
        <f t="shared" si="336"/>
        <v>0</v>
      </c>
      <c r="AG357" s="25">
        <f t="shared" si="337"/>
        <v>0</v>
      </c>
      <c r="AH357" s="25">
        <f t="shared" si="338"/>
        <v>0</v>
      </c>
      <c r="AI357" s="11" t="s">
        <v>46</v>
      </c>
      <c r="AJ357" s="25">
        <f t="shared" si="339"/>
        <v>0</v>
      </c>
      <c r="AK357" s="25">
        <f t="shared" si="340"/>
        <v>0</v>
      </c>
      <c r="AL357" s="25">
        <f t="shared" si="341"/>
        <v>0</v>
      </c>
      <c r="AN357" s="25">
        <v>21</v>
      </c>
      <c r="AO357" s="25">
        <f>G357*0</f>
        <v>0</v>
      </c>
      <c r="AP357" s="25">
        <f>G357*(1-0)</f>
        <v>0</v>
      </c>
      <c r="AQ357" s="27" t="s">
        <v>76</v>
      </c>
      <c r="AV357" s="25">
        <f t="shared" si="342"/>
        <v>0</v>
      </c>
      <c r="AW357" s="25">
        <f t="shared" si="343"/>
        <v>0</v>
      </c>
      <c r="AX357" s="25">
        <f t="shared" si="344"/>
        <v>0</v>
      </c>
      <c r="AY357" s="27" t="s">
        <v>1027</v>
      </c>
      <c r="AZ357" s="27" t="s">
        <v>585</v>
      </c>
      <c r="BA357" s="11" t="s">
        <v>56</v>
      </c>
      <c r="BC357" s="25">
        <f t="shared" si="345"/>
        <v>0</v>
      </c>
      <c r="BD357" s="25">
        <f t="shared" si="346"/>
        <v>0</v>
      </c>
      <c r="BE357" s="25">
        <v>0</v>
      </c>
      <c r="BF357" s="25">
        <f>357</f>
        <v>357</v>
      </c>
      <c r="BH357" s="25">
        <f t="shared" si="347"/>
        <v>0</v>
      </c>
      <c r="BI357" s="25">
        <f t="shared" si="348"/>
        <v>0</v>
      </c>
      <c r="BJ357" s="25">
        <f t="shared" si="349"/>
        <v>0</v>
      </c>
      <c r="BK357" s="27" t="s">
        <v>57</v>
      </c>
      <c r="BL357" s="25">
        <v>728</v>
      </c>
      <c r="BW357" s="25">
        <v>21</v>
      </c>
      <c r="BX357" s="5" t="s">
        <v>1086</v>
      </c>
    </row>
    <row r="358" spans="1:76" x14ac:dyDescent="0.25">
      <c r="A358" s="2" t="s">
        <v>1087</v>
      </c>
      <c r="B358" s="3" t="s">
        <v>1088</v>
      </c>
      <c r="C358" s="93" t="s">
        <v>1089</v>
      </c>
      <c r="D358" s="94"/>
      <c r="E358" s="3" t="s">
        <v>131</v>
      </c>
      <c r="F358" s="25">
        <v>44</v>
      </c>
      <c r="G358" s="25">
        <v>0</v>
      </c>
      <c r="H358" s="25">
        <f t="shared" si="328"/>
        <v>0</v>
      </c>
      <c r="I358" s="25">
        <f t="shared" si="329"/>
        <v>0</v>
      </c>
      <c r="J358" s="25">
        <f t="shared" si="330"/>
        <v>0</v>
      </c>
      <c r="K358" s="26" t="s">
        <v>53</v>
      </c>
      <c r="Z358" s="25">
        <f t="shared" si="331"/>
        <v>0</v>
      </c>
      <c r="AB358" s="25">
        <f t="shared" si="332"/>
        <v>0</v>
      </c>
      <c r="AC358" s="25">
        <f t="shared" si="333"/>
        <v>0</v>
      </c>
      <c r="AD358" s="25">
        <f t="shared" si="334"/>
        <v>0</v>
      </c>
      <c r="AE358" s="25">
        <f t="shared" si="335"/>
        <v>0</v>
      </c>
      <c r="AF358" s="25">
        <f t="shared" si="336"/>
        <v>0</v>
      </c>
      <c r="AG358" s="25">
        <f t="shared" si="337"/>
        <v>0</v>
      </c>
      <c r="AH358" s="25">
        <f t="shared" si="338"/>
        <v>0</v>
      </c>
      <c r="AI358" s="11" t="s">
        <v>46</v>
      </c>
      <c r="AJ358" s="25">
        <f t="shared" si="339"/>
        <v>0</v>
      </c>
      <c r="AK358" s="25">
        <f t="shared" si="340"/>
        <v>0</v>
      </c>
      <c r="AL358" s="25">
        <f t="shared" si="341"/>
        <v>0</v>
      </c>
      <c r="AN358" s="25">
        <v>21</v>
      </c>
      <c r="AO358" s="25">
        <f>G358*0.530009214</f>
        <v>0</v>
      </c>
      <c r="AP358" s="25">
        <f>G358*(1-0.530009214)</f>
        <v>0</v>
      </c>
      <c r="AQ358" s="27" t="s">
        <v>76</v>
      </c>
      <c r="AV358" s="25">
        <f t="shared" si="342"/>
        <v>0</v>
      </c>
      <c r="AW358" s="25">
        <f t="shared" si="343"/>
        <v>0</v>
      </c>
      <c r="AX358" s="25">
        <f t="shared" si="344"/>
        <v>0</v>
      </c>
      <c r="AY358" s="27" t="s">
        <v>1027</v>
      </c>
      <c r="AZ358" s="27" t="s">
        <v>585</v>
      </c>
      <c r="BA358" s="11" t="s">
        <v>56</v>
      </c>
      <c r="BC358" s="25">
        <f t="shared" si="345"/>
        <v>0</v>
      </c>
      <c r="BD358" s="25">
        <f t="shared" si="346"/>
        <v>0</v>
      </c>
      <c r="BE358" s="25">
        <v>0</v>
      </c>
      <c r="BF358" s="25">
        <f>358</f>
        <v>358</v>
      </c>
      <c r="BH358" s="25">
        <f t="shared" si="347"/>
        <v>0</v>
      </c>
      <c r="BI358" s="25">
        <f t="shared" si="348"/>
        <v>0</v>
      </c>
      <c r="BJ358" s="25">
        <f t="shared" si="349"/>
        <v>0</v>
      </c>
      <c r="BK358" s="27" t="s">
        <v>57</v>
      </c>
      <c r="BL358" s="25">
        <v>728</v>
      </c>
      <c r="BW358" s="25">
        <v>21</v>
      </c>
      <c r="BX358" s="5" t="s">
        <v>1089</v>
      </c>
    </row>
    <row r="359" spans="1:76" x14ac:dyDescent="0.25">
      <c r="A359" s="2" t="s">
        <v>1090</v>
      </c>
      <c r="B359" s="3" t="s">
        <v>1091</v>
      </c>
      <c r="C359" s="93" t="s">
        <v>1092</v>
      </c>
      <c r="D359" s="94"/>
      <c r="E359" s="3" t="s">
        <v>1080</v>
      </c>
      <c r="F359" s="25">
        <v>1</v>
      </c>
      <c r="G359" s="25">
        <v>0</v>
      </c>
      <c r="H359" s="25">
        <f t="shared" si="328"/>
        <v>0</v>
      </c>
      <c r="I359" s="25">
        <f t="shared" si="329"/>
        <v>0</v>
      </c>
      <c r="J359" s="25">
        <f t="shared" si="330"/>
        <v>0</v>
      </c>
      <c r="K359" s="26" t="s">
        <v>53</v>
      </c>
      <c r="Z359" s="25">
        <f t="shared" si="331"/>
        <v>0</v>
      </c>
      <c r="AB359" s="25">
        <f t="shared" si="332"/>
        <v>0</v>
      </c>
      <c r="AC359" s="25">
        <f t="shared" si="333"/>
        <v>0</v>
      </c>
      <c r="AD359" s="25">
        <f t="shared" si="334"/>
        <v>0</v>
      </c>
      <c r="AE359" s="25">
        <f t="shared" si="335"/>
        <v>0</v>
      </c>
      <c r="AF359" s="25">
        <f t="shared" si="336"/>
        <v>0</v>
      </c>
      <c r="AG359" s="25">
        <f t="shared" si="337"/>
        <v>0</v>
      </c>
      <c r="AH359" s="25">
        <f t="shared" si="338"/>
        <v>0</v>
      </c>
      <c r="AI359" s="11" t="s">
        <v>46</v>
      </c>
      <c r="AJ359" s="25">
        <f t="shared" si="339"/>
        <v>0</v>
      </c>
      <c r="AK359" s="25">
        <f t="shared" si="340"/>
        <v>0</v>
      </c>
      <c r="AL359" s="25">
        <f t="shared" si="341"/>
        <v>0</v>
      </c>
      <c r="AN359" s="25">
        <v>21</v>
      </c>
      <c r="AO359" s="25">
        <f>G359*0</f>
        <v>0</v>
      </c>
      <c r="AP359" s="25">
        <f>G359*(1-0)</f>
        <v>0</v>
      </c>
      <c r="AQ359" s="27" t="s">
        <v>76</v>
      </c>
      <c r="AV359" s="25">
        <f t="shared" si="342"/>
        <v>0</v>
      </c>
      <c r="AW359" s="25">
        <f t="shared" si="343"/>
        <v>0</v>
      </c>
      <c r="AX359" s="25">
        <f t="shared" si="344"/>
        <v>0</v>
      </c>
      <c r="AY359" s="27" t="s">
        <v>1027</v>
      </c>
      <c r="AZ359" s="27" t="s">
        <v>585</v>
      </c>
      <c r="BA359" s="11" t="s">
        <v>56</v>
      </c>
      <c r="BC359" s="25">
        <f t="shared" si="345"/>
        <v>0</v>
      </c>
      <c r="BD359" s="25">
        <f t="shared" si="346"/>
        <v>0</v>
      </c>
      <c r="BE359" s="25">
        <v>0</v>
      </c>
      <c r="BF359" s="25">
        <f>359</f>
        <v>359</v>
      </c>
      <c r="BH359" s="25">
        <f t="shared" si="347"/>
        <v>0</v>
      </c>
      <c r="BI359" s="25">
        <f t="shared" si="348"/>
        <v>0</v>
      </c>
      <c r="BJ359" s="25">
        <f t="shared" si="349"/>
        <v>0</v>
      </c>
      <c r="BK359" s="27" t="s">
        <v>57</v>
      </c>
      <c r="BL359" s="25">
        <v>728</v>
      </c>
      <c r="BW359" s="25">
        <v>21</v>
      </c>
      <c r="BX359" s="5" t="s">
        <v>1092</v>
      </c>
    </row>
    <row r="360" spans="1:76" x14ac:dyDescent="0.25">
      <c r="A360" s="2" t="s">
        <v>1093</v>
      </c>
      <c r="B360" s="3" t="s">
        <v>1094</v>
      </c>
      <c r="C360" s="93" t="s">
        <v>829</v>
      </c>
      <c r="D360" s="94"/>
      <c r="E360" s="3" t="s">
        <v>1080</v>
      </c>
      <c r="F360" s="25">
        <v>1</v>
      </c>
      <c r="G360" s="25">
        <v>0</v>
      </c>
      <c r="H360" s="25">
        <f t="shared" si="328"/>
        <v>0</v>
      </c>
      <c r="I360" s="25">
        <f t="shared" si="329"/>
        <v>0</v>
      </c>
      <c r="J360" s="25">
        <f t="shared" si="330"/>
        <v>0</v>
      </c>
      <c r="K360" s="26" t="s">
        <v>53</v>
      </c>
      <c r="Z360" s="25">
        <f t="shared" si="331"/>
        <v>0</v>
      </c>
      <c r="AB360" s="25">
        <f t="shared" si="332"/>
        <v>0</v>
      </c>
      <c r="AC360" s="25">
        <f t="shared" si="333"/>
        <v>0</v>
      </c>
      <c r="AD360" s="25">
        <f t="shared" si="334"/>
        <v>0</v>
      </c>
      <c r="AE360" s="25">
        <f t="shared" si="335"/>
        <v>0</v>
      </c>
      <c r="AF360" s="25">
        <f t="shared" si="336"/>
        <v>0</v>
      </c>
      <c r="AG360" s="25">
        <f t="shared" si="337"/>
        <v>0</v>
      </c>
      <c r="AH360" s="25">
        <f t="shared" si="338"/>
        <v>0</v>
      </c>
      <c r="AI360" s="11" t="s">
        <v>46</v>
      </c>
      <c r="AJ360" s="25">
        <f t="shared" si="339"/>
        <v>0</v>
      </c>
      <c r="AK360" s="25">
        <f t="shared" si="340"/>
        <v>0</v>
      </c>
      <c r="AL360" s="25">
        <f t="shared" si="341"/>
        <v>0</v>
      </c>
      <c r="AN360" s="25">
        <v>21</v>
      </c>
      <c r="AO360" s="25">
        <f>G360*0</f>
        <v>0</v>
      </c>
      <c r="AP360" s="25">
        <f>G360*(1-0)</f>
        <v>0</v>
      </c>
      <c r="AQ360" s="27" t="s">
        <v>76</v>
      </c>
      <c r="AV360" s="25">
        <f t="shared" si="342"/>
        <v>0</v>
      </c>
      <c r="AW360" s="25">
        <f t="shared" si="343"/>
        <v>0</v>
      </c>
      <c r="AX360" s="25">
        <f t="shared" si="344"/>
        <v>0</v>
      </c>
      <c r="AY360" s="27" t="s">
        <v>1027</v>
      </c>
      <c r="AZ360" s="27" t="s">
        <v>585</v>
      </c>
      <c r="BA360" s="11" t="s">
        <v>56</v>
      </c>
      <c r="BC360" s="25">
        <f t="shared" si="345"/>
        <v>0</v>
      </c>
      <c r="BD360" s="25">
        <f t="shared" si="346"/>
        <v>0</v>
      </c>
      <c r="BE360" s="25">
        <v>0</v>
      </c>
      <c r="BF360" s="25">
        <f>360</f>
        <v>360</v>
      </c>
      <c r="BH360" s="25">
        <f t="shared" si="347"/>
        <v>0</v>
      </c>
      <c r="BI360" s="25">
        <f t="shared" si="348"/>
        <v>0</v>
      </c>
      <c r="BJ360" s="25">
        <f t="shared" si="349"/>
        <v>0</v>
      </c>
      <c r="BK360" s="27" t="s">
        <v>57</v>
      </c>
      <c r="BL360" s="25">
        <v>728</v>
      </c>
      <c r="BW360" s="25">
        <v>21</v>
      </c>
      <c r="BX360" s="5" t="s">
        <v>829</v>
      </c>
    </row>
    <row r="361" spans="1:76" x14ac:dyDescent="0.25">
      <c r="A361" s="2" t="s">
        <v>1095</v>
      </c>
      <c r="B361" s="3" t="s">
        <v>1096</v>
      </c>
      <c r="C361" s="93" t="s">
        <v>1097</v>
      </c>
      <c r="D361" s="94"/>
      <c r="E361" s="3" t="s">
        <v>52</v>
      </c>
      <c r="F361" s="25">
        <v>1</v>
      </c>
      <c r="G361" s="25">
        <v>0</v>
      </c>
      <c r="H361" s="25">
        <f t="shared" si="328"/>
        <v>0</v>
      </c>
      <c r="I361" s="25">
        <f t="shared" si="329"/>
        <v>0</v>
      </c>
      <c r="J361" s="25">
        <f t="shared" si="330"/>
        <v>0</v>
      </c>
      <c r="K361" s="26" t="s">
        <v>53</v>
      </c>
      <c r="Z361" s="25">
        <f t="shared" si="331"/>
        <v>0</v>
      </c>
      <c r="AB361" s="25">
        <f t="shared" si="332"/>
        <v>0</v>
      </c>
      <c r="AC361" s="25">
        <f t="shared" si="333"/>
        <v>0</v>
      </c>
      <c r="AD361" s="25">
        <f t="shared" si="334"/>
        <v>0</v>
      </c>
      <c r="AE361" s="25">
        <f t="shared" si="335"/>
        <v>0</v>
      </c>
      <c r="AF361" s="25">
        <f t="shared" si="336"/>
        <v>0</v>
      </c>
      <c r="AG361" s="25">
        <f t="shared" si="337"/>
        <v>0</v>
      </c>
      <c r="AH361" s="25">
        <f t="shared" si="338"/>
        <v>0</v>
      </c>
      <c r="AI361" s="11" t="s">
        <v>46</v>
      </c>
      <c r="AJ361" s="25">
        <f t="shared" si="339"/>
        <v>0</v>
      </c>
      <c r="AK361" s="25">
        <f t="shared" si="340"/>
        <v>0</v>
      </c>
      <c r="AL361" s="25">
        <f t="shared" si="341"/>
        <v>0</v>
      </c>
      <c r="AN361" s="25">
        <v>21</v>
      </c>
      <c r="AO361" s="25">
        <f t="shared" ref="AO361:AO368" si="352">G361*0.53</f>
        <v>0</v>
      </c>
      <c r="AP361" s="25">
        <f t="shared" ref="AP361:AP368" si="353">G361*(1-0.53)</f>
        <v>0</v>
      </c>
      <c r="AQ361" s="27" t="s">
        <v>76</v>
      </c>
      <c r="AV361" s="25">
        <f t="shared" si="342"/>
        <v>0</v>
      </c>
      <c r="AW361" s="25">
        <f t="shared" si="343"/>
        <v>0</v>
      </c>
      <c r="AX361" s="25">
        <f t="shared" si="344"/>
        <v>0</v>
      </c>
      <c r="AY361" s="27" t="s">
        <v>1027</v>
      </c>
      <c r="AZ361" s="27" t="s">
        <v>585</v>
      </c>
      <c r="BA361" s="11" t="s">
        <v>56</v>
      </c>
      <c r="BC361" s="25">
        <f t="shared" si="345"/>
        <v>0</v>
      </c>
      <c r="BD361" s="25">
        <f t="shared" si="346"/>
        <v>0</v>
      </c>
      <c r="BE361" s="25">
        <v>0</v>
      </c>
      <c r="BF361" s="25">
        <f>361</f>
        <v>361</v>
      </c>
      <c r="BH361" s="25">
        <f t="shared" si="347"/>
        <v>0</v>
      </c>
      <c r="BI361" s="25">
        <f t="shared" si="348"/>
        <v>0</v>
      </c>
      <c r="BJ361" s="25">
        <f t="shared" si="349"/>
        <v>0</v>
      </c>
      <c r="BK361" s="27" t="s">
        <v>57</v>
      </c>
      <c r="BL361" s="25">
        <v>728</v>
      </c>
      <c r="BW361" s="25">
        <v>21</v>
      </c>
      <c r="BX361" s="5" t="s">
        <v>1097</v>
      </c>
    </row>
    <row r="362" spans="1:76" x14ac:dyDescent="0.25">
      <c r="A362" s="2" t="s">
        <v>1098</v>
      </c>
      <c r="B362" s="3" t="s">
        <v>1099</v>
      </c>
      <c r="C362" s="93" t="s">
        <v>1100</v>
      </c>
      <c r="D362" s="94"/>
      <c r="E362" s="3" t="s">
        <v>52</v>
      </c>
      <c r="F362" s="25">
        <v>1</v>
      </c>
      <c r="G362" s="25">
        <v>0</v>
      </c>
      <c r="H362" s="25">
        <f t="shared" si="328"/>
        <v>0</v>
      </c>
      <c r="I362" s="25">
        <f t="shared" si="329"/>
        <v>0</v>
      </c>
      <c r="J362" s="25">
        <f t="shared" si="330"/>
        <v>0</v>
      </c>
      <c r="K362" s="26" t="s">
        <v>53</v>
      </c>
      <c r="Z362" s="25">
        <f t="shared" si="331"/>
        <v>0</v>
      </c>
      <c r="AB362" s="25">
        <f t="shared" si="332"/>
        <v>0</v>
      </c>
      <c r="AC362" s="25">
        <f t="shared" si="333"/>
        <v>0</v>
      </c>
      <c r="AD362" s="25">
        <f t="shared" si="334"/>
        <v>0</v>
      </c>
      <c r="AE362" s="25">
        <f t="shared" si="335"/>
        <v>0</v>
      </c>
      <c r="AF362" s="25">
        <f t="shared" si="336"/>
        <v>0</v>
      </c>
      <c r="AG362" s="25">
        <f t="shared" si="337"/>
        <v>0</v>
      </c>
      <c r="AH362" s="25">
        <f t="shared" si="338"/>
        <v>0</v>
      </c>
      <c r="AI362" s="11" t="s">
        <v>46</v>
      </c>
      <c r="AJ362" s="25">
        <f t="shared" si="339"/>
        <v>0</v>
      </c>
      <c r="AK362" s="25">
        <f t="shared" si="340"/>
        <v>0</v>
      </c>
      <c r="AL362" s="25">
        <f t="shared" si="341"/>
        <v>0</v>
      </c>
      <c r="AN362" s="25">
        <v>21</v>
      </c>
      <c r="AO362" s="25">
        <f t="shared" si="352"/>
        <v>0</v>
      </c>
      <c r="AP362" s="25">
        <f t="shared" si="353"/>
        <v>0</v>
      </c>
      <c r="AQ362" s="27" t="s">
        <v>76</v>
      </c>
      <c r="AV362" s="25">
        <f t="shared" si="342"/>
        <v>0</v>
      </c>
      <c r="AW362" s="25">
        <f t="shared" si="343"/>
        <v>0</v>
      </c>
      <c r="AX362" s="25">
        <f t="shared" si="344"/>
        <v>0</v>
      </c>
      <c r="AY362" s="27" t="s">
        <v>1027</v>
      </c>
      <c r="AZ362" s="27" t="s">
        <v>585</v>
      </c>
      <c r="BA362" s="11" t="s">
        <v>56</v>
      </c>
      <c r="BC362" s="25">
        <f t="shared" si="345"/>
        <v>0</v>
      </c>
      <c r="BD362" s="25">
        <f t="shared" si="346"/>
        <v>0</v>
      </c>
      <c r="BE362" s="25">
        <v>0</v>
      </c>
      <c r="BF362" s="25">
        <f>362</f>
        <v>362</v>
      </c>
      <c r="BH362" s="25">
        <f t="shared" si="347"/>
        <v>0</v>
      </c>
      <c r="BI362" s="25">
        <f t="shared" si="348"/>
        <v>0</v>
      </c>
      <c r="BJ362" s="25">
        <f t="shared" si="349"/>
        <v>0</v>
      </c>
      <c r="BK362" s="27" t="s">
        <v>57</v>
      </c>
      <c r="BL362" s="25">
        <v>728</v>
      </c>
      <c r="BW362" s="25">
        <v>21</v>
      </c>
      <c r="BX362" s="5" t="s">
        <v>1100</v>
      </c>
    </row>
    <row r="363" spans="1:76" x14ac:dyDescent="0.25">
      <c r="A363" s="2" t="s">
        <v>1101</v>
      </c>
      <c r="B363" s="3" t="s">
        <v>1102</v>
      </c>
      <c r="C363" s="93" t="s">
        <v>1103</v>
      </c>
      <c r="D363" s="94"/>
      <c r="E363" s="3" t="s">
        <v>52</v>
      </c>
      <c r="F363" s="25">
        <v>1</v>
      </c>
      <c r="G363" s="25">
        <v>0</v>
      </c>
      <c r="H363" s="25">
        <f t="shared" si="328"/>
        <v>0</v>
      </c>
      <c r="I363" s="25">
        <f t="shared" si="329"/>
        <v>0</v>
      </c>
      <c r="J363" s="25">
        <f t="shared" si="330"/>
        <v>0</v>
      </c>
      <c r="K363" s="26" t="s">
        <v>53</v>
      </c>
      <c r="Z363" s="25">
        <f t="shared" si="331"/>
        <v>0</v>
      </c>
      <c r="AB363" s="25">
        <f t="shared" si="332"/>
        <v>0</v>
      </c>
      <c r="AC363" s="25">
        <f t="shared" si="333"/>
        <v>0</v>
      </c>
      <c r="AD363" s="25">
        <f t="shared" si="334"/>
        <v>0</v>
      </c>
      <c r="AE363" s="25">
        <f t="shared" si="335"/>
        <v>0</v>
      </c>
      <c r="AF363" s="25">
        <f t="shared" si="336"/>
        <v>0</v>
      </c>
      <c r="AG363" s="25">
        <f t="shared" si="337"/>
        <v>0</v>
      </c>
      <c r="AH363" s="25">
        <f t="shared" si="338"/>
        <v>0</v>
      </c>
      <c r="AI363" s="11" t="s">
        <v>46</v>
      </c>
      <c r="AJ363" s="25">
        <f t="shared" si="339"/>
        <v>0</v>
      </c>
      <c r="AK363" s="25">
        <f t="shared" si="340"/>
        <v>0</v>
      </c>
      <c r="AL363" s="25">
        <f t="shared" si="341"/>
        <v>0</v>
      </c>
      <c r="AN363" s="25">
        <v>21</v>
      </c>
      <c r="AO363" s="25">
        <f t="shared" si="352"/>
        <v>0</v>
      </c>
      <c r="AP363" s="25">
        <f t="shared" si="353"/>
        <v>0</v>
      </c>
      <c r="AQ363" s="27" t="s">
        <v>76</v>
      </c>
      <c r="AV363" s="25">
        <f t="shared" si="342"/>
        <v>0</v>
      </c>
      <c r="AW363" s="25">
        <f t="shared" si="343"/>
        <v>0</v>
      </c>
      <c r="AX363" s="25">
        <f t="shared" si="344"/>
        <v>0</v>
      </c>
      <c r="AY363" s="27" t="s">
        <v>1027</v>
      </c>
      <c r="AZ363" s="27" t="s">
        <v>585</v>
      </c>
      <c r="BA363" s="11" t="s">
        <v>56</v>
      </c>
      <c r="BC363" s="25">
        <f t="shared" si="345"/>
        <v>0</v>
      </c>
      <c r="BD363" s="25">
        <f t="shared" si="346"/>
        <v>0</v>
      </c>
      <c r="BE363" s="25">
        <v>0</v>
      </c>
      <c r="BF363" s="25">
        <f>363</f>
        <v>363</v>
      </c>
      <c r="BH363" s="25">
        <f t="shared" si="347"/>
        <v>0</v>
      </c>
      <c r="BI363" s="25">
        <f t="shared" si="348"/>
        <v>0</v>
      </c>
      <c r="BJ363" s="25">
        <f t="shared" si="349"/>
        <v>0</v>
      </c>
      <c r="BK363" s="27" t="s">
        <v>57</v>
      </c>
      <c r="BL363" s="25">
        <v>728</v>
      </c>
      <c r="BW363" s="25">
        <v>21</v>
      </c>
      <c r="BX363" s="5" t="s">
        <v>1103</v>
      </c>
    </row>
    <row r="364" spans="1:76" x14ac:dyDescent="0.25">
      <c r="A364" s="2" t="s">
        <v>1104</v>
      </c>
      <c r="B364" s="3" t="s">
        <v>1105</v>
      </c>
      <c r="C364" s="93" t="s">
        <v>1106</v>
      </c>
      <c r="D364" s="94"/>
      <c r="E364" s="3" t="s">
        <v>52</v>
      </c>
      <c r="F364" s="25">
        <v>2</v>
      </c>
      <c r="G364" s="25">
        <v>0</v>
      </c>
      <c r="H364" s="25">
        <f t="shared" si="328"/>
        <v>0</v>
      </c>
      <c r="I364" s="25">
        <f t="shared" si="329"/>
        <v>0</v>
      </c>
      <c r="J364" s="25">
        <f t="shared" si="330"/>
        <v>0</v>
      </c>
      <c r="K364" s="26" t="s">
        <v>53</v>
      </c>
      <c r="Z364" s="25">
        <f t="shared" si="331"/>
        <v>0</v>
      </c>
      <c r="AB364" s="25">
        <f t="shared" si="332"/>
        <v>0</v>
      </c>
      <c r="AC364" s="25">
        <f t="shared" si="333"/>
        <v>0</v>
      </c>
      <c r="AD364" s="25">
        <f t="shared" si="334"/>
        <v>0</v>
      </c>
      <c r="AE364" s="25">
        <f t="shared" si="335"/>
        <v>0</v>
      </c>
      <c r="AF364" s="25">
        <f t="shared" si="336"/>
        <v>0</v>
      </c>
      <c r="AG364" s="25">
        <f t="shared" si="337"/>
        <v>0</v>
      </c>
      <c r="AH364" s="25">
        <f t="shared" si="338"/>
        <v>0</v>
      </c>
      <c r="AI364" s="11" t="s">
        <v>46</v>
      </c>
      <c r="AJ364" s="25">
        <f t="shared" si="339"/>
        <v>0</v>
      </c>
      <c r="AK364" s="25">
        <f t="shared" si="340"/>
        <v>0</v>
      </c>
      <c r="AL364" s="25">
        <f t="shared" si="341"/>
        <v>0</v>
      </c>
      <c r="AN364" s="25">
        <v>21</v>
      </c>
      <c r="AO364" s="25">
        <f t="shared" si="352"/>
        <v>0</v>
      </c>
      <c r="AP364" s="25">
        <f t="shared" si="353"/>
        <v>0</v>
      </c>
      <c r="AQ364" s="27" t="s">
        <v>76</v>
      </c>
      <c r="AV364" s="25">
        <f t="shared" si="342"/>
        <v>0</v>
      </c>
      <c r="AW364" s="25">
        <f t="shared" si="343"/>
        <v>0</v>
      </c>
      <c r="AX364" s="25">
        <f t="shared" si="344"/>
        <v>0</v>
      </c>
      <c r="AY364" s="27" t="s">
        <v>1027</v>
      </c>
      <c r="AZ364" s="27" t="s">
        <v>585</v>
      </c>
      <c r="BA364" s="11" t="s">
        <v>56</v>
      </c>
      <c r="BC364" s="25">
        <f t="shared" si="345"/>
        <v>0</v>
      </c>
      <c r="BD364" s="25">
        <f t="shared" si="346"/>
        <v>0</v>
      </c>
      <c r="BE364" s="25">
        <v>0</v>
      </c>
      <c r="BF364" s="25">
        <f>364</f>
        <v>364</v>
      </c>
      <c r="BH364" s="25">
        <f t="shared" si="347"/>
        <v>0</v>
      </c>
      <c r="BI364" s="25">
        <f t="shared" si="348"/>
        <v>0</v>
      </c>
      <c r="BJ364" s="25">
        <f t="shared" si="349"/>
        <v>0</v>
      </c>
      <c r="BK364" s="27" t="s">
        <v>57</v>
      </c>
      <c r="BL364" s="25">
        <v>728</v>
      </c>
      <c r="BW364" s="25">
        <v>21</v>
      </c>
      <c r="BX364" s="5" t="s">
        <v>1106</v>
      </c>
    </row>
    <row r="365" spans="1:76" x14ac:dyDescent="0.25">
      <c r="A365" s="2" t="s">
        <v>1107</v>
      </c>
      <c r="B365" s="3" t="s">
        <v>1108</v>
      </c>
      <c r="C365" s="93" t="s">
        <v>1109</v>
      </c>
      <c r="D365" s="94"/>
      <c r="E365" s="3" t="s">
        <v>131</v>
      </c>
      <c r="F365" s="25">
        <v>0.5</v>
      </c>
      <c r="G365" s="25">
        <v>0</v>
      </c>
      <c r="H365" s="25">
        <f t="shared" si="328"/>
        <v>0</v>
      </c>
      <c r="I365" s="25">
        <f t="shared" si="329"/>
        <v>0</v>
      </c>
      <c r="J365" s="25">
        <f t="shared" si="330"/>
        <v>0</v>
      </c>
      <c r="K365" s="26" t="s">
        <v>53</v>
      </c>
      <c r="Z365" s="25">
        <f t="shared" si="331"/>
        <v>0</v>
      </c>
      <c r="AB365" s="25">
        <f t="shared" si="332"/>
        <v>0</v>
      </c>
      <c r="AC365" s="25">
        <f t="shared" si="333"/>
        <v>0</v>
      </c>
      <c r="AD365" s="25">
        <f t="shared" si="334"/>
        <v>0</v>
      </c>
      <c r="AE365" s="25">
        <f t="shared" si="335"/>
        <v>0</v>
      </c>
      <c r="AF365" s="25">
        <f t="shared" si="336"/>
        <v>0</v>
      </c>
      <c r="AG365" s="25">
        <f t="shared" si="337"/>
        <v>0</v>
      </c>
      <c r="AH365" s="25">
        <f t="shared" si="338"/>
        <v>0</v>
      </c>
      <c r="AI365" s="11" t="s">
        <v>46</v>
      </c>
      <c r="AJ365" s="25">
        <f t="shared" si="339"/>
        <v>0</v>
      </c>
      <c r="AK365" s="25">
        <f t="shared" si="340"/>
        <v>0</v>
      </c>
      <c r="AL365" s="25">
        <f t="shared" si="341"/>
        <v>0</v>
      </c>
      <c r="AN365" s="25">
        <v>21</v>
      </c>
      <c r="AO365" s="25">
        <f t="shared" si="352"/>
        <v>0</v>
      </c>
      <c r="AP365" s="25">
        <f t="shared" si="353"/>
        <v>0</v>
      </c>
      <c r="AQ365" s="27" t="s">
        <v>76</v>
      </c>
      <c r="AV365" s="25">
        <f t="shared" si="342"/>
        <v>0</v>
      </c>
      <c r="AW365" s="25">
        <f t="shared" si="343"/>
        <v>0</v>
      </c>
      <c r="AX365" s="25">
        <f t="shared" si="344"/>
        <v>0</v>
      </c>
      <c r="AY365" s="27" t="s">
        <v>1027</v>
      </c>
      <c r="AZ365" s="27" t="s">
        <v>585</v>
      </c>
      <c r="BA365" s="11" t="s">
        <v>56</v>
      </c>
      <c r="BC365" s="25">
        <f t="shared" si="345"/>
        <v>0</v>
      </c>
      <c r="BD365" s="25">
        <f t="shared" si="346"/>
        <v>0</v>
      </c>
      <c r="BE365" s="25">
        <v>0</v>
      </c>
      <c r="BF365" s="25">
        <f>365</f>
        <v>365</v>
      </c>
      <c r="BH365" s="25">
        <f t="shared" si="347"/>
        <v>0</v>
      </c>
      <c r="BI365" s="25">
        <f t="shared" si="348"/>
        <v>0</v>
      </c>
      <c r="BJ365" s="25">
        <f t="shared" si="349"/>
        <v>0</v>
      </c>
      <c r="BK365" s="27" t="s">
        <v>57</v>
      </c>
      <c r="BL365" s="25">
        <v>728</v>
      </c>
      <c r="BW365" s="25">
        <v>21</v>
      </c>
      <c r="BX365" s="5" t="s">
        <v>1109</v>
      </c>
    </row>
    <row r="366" spans="1:76" x14ac:dyDescent="0.25">
      <c r="A366" s="2" t="s">
        <v>1110</v>
      </c>
      <c r="B366" s="3" t="s">
        <v>1111</v>
      </c>
      <c r="C366" s="93" t="s">
        <v>1112</v>
      </c>
      <c r="D366" s="94"/>
      <c r="E366" s="3" t="s">
        <v>52</v>
      </c>
      <c r="F366" s="25">
        <v>2</v>
      </c>
      <c r="G366" s="25">
        <v>0</v>
      </c>
      <c r="H366" s="25">
        <f t="shared" si="328"/>
        <v>0</v>
      </c>
      <c r="I366" s="25">
        <f t="shared" si="329"/>
        <v>0</v>
      </c>
      <c r="J366" s="25">
        <f t="shared" si="330"/>
        <v>0</v>
      </c>
      <c r="K366" s="26" t="s">
        <v>53</v>
      </c>
      <c r="Z366" s="25">
        <f t="shared" si="331"/>
        <v>0</v>
      </c>
      <c r="AB366" s="25">
        <f t="shared" si="332"/>
        <v>0</v>
      </c>
      <c r="AC366" s="25">
        <f t="shared" si="333"/>
        <v>0</v>
      </c>
      <c r="AD366" s="25">
        <f t="shared" si="334"/>
        <v>0</v>
      </c>
      <c r="AE366" s="25">
        <f t="shared" si="335"/>
        <v>0</v>
      </c>
      <c r="AF366" s="25">
        <f t="shared" si="336"/>
        <v>0</v>
      </c>
      <c r="AG366" s="25">
        <f t="shared" si="337"/>
        <v>0</v>
      </c>
      <c r="AH366" s="25">
        <f t="shared" si="338"/>
        <v>0</v>
      </c>
      <c r="AI366" s="11" t="s">
        <v>46</v>
      </c>
      <c r="AJ366" s="25">
        <f t="shared" si="339"/>
        <v>0</v>
      </c>
      <c r="AK366" s="25">
        <f t="shared" si="340"/>
        <v>0</v>
      </c>
      <c r="AL366" s="25">
        <f t="shared" si="341"/>
        <v>0</v>
      </c>
      <c r="AN366" s="25">
        <v>21</v>
      </c>
      <c r="AO366" s="25">
        <f t="shared" si="352"/>
        <v>0</v>
      </c>
      <c r="AP366" s="25">
        <f t="shared" si="353"/>
        <v>0</v>
      </c>
      <c r="AQ366" s="27" t="s">
        <v>76</v>
      </c>
      <c r="AV366" s="25">
        <f t="shared" si="342"/>
        <v>0</v>
      </c>
      <c r="AW366" s="25">
        <f t="shared" si="343"/>
        <v>0</v>
      </c>
      <c r="AX366" s="25">
        <f t="shared" si="344"/>
        <v>0</v>
      </c>
      <c r="AY366" s="27" t="s">
        <v>1027</v>
      </c>
      <c r="AZ366" s="27" t="s">
        <v>585</v>
      </c>
      <c r="BA366" s="11" t="s">
        <v>56</v>
      </c>
      <c r="BC366" s="25">
        <f t="shared" si="345"/>
        <v>0</v>
      </c>
      <c r="BD366" s="25">
        <f t="shared" si="346"/>
        <v>0</v>
      </c>
      <c r="BE366" s="25">
        <v>0</v>
      </c>
      <c r="BF366" s="25">
        <f>366</f>
        <v>366</v>
      </c>
      <c r="BH366" s="25">
        <f t="shared" si="347"/>
        <v>0</v>
      </c>
      <c r="BI366" s="25">
        <f t="shared" si="348"/>
        <v>0</v>
      </c>
      <c r="BJ366" s="25">
        <f t="shared" si="349"/>
        <v>0</v>
      </c>
      <c r="BK366" s="27" t="s">
        <v>57</v>
      </c>
      <c r="BL366" s="25">
        <v>728</v>
      </c>
      <c r="BW366" s="25">
        <v>21</v>
      </c>
      <c r="BX366" s="5" t="s">
        <v>1112</v>
      </c>
    </row>
    <row r="367" spans="1:76" ht="25.5" x14ac:dyDescent="0.25">
      <c r="A367" s="2" t="s">
        <v>1113</v>
      </c>
      <c r="B367" s="3" t="s">
        <v>1114</v>
      </c>
      <c r="C367" s="93" t="s">
        <v>1115</v>
      </c>
      <c r="D367" s="94"/>
      <c r="E367" s="3" t="s">
        <v>52</v>
      </c>
      <c r="F367" s="25">
        <v>1</v>
      </c>
      <c r="G367" s="25">
        <v>0</v>
      </c>
      <c r="H367" s="25">
        <f t="shared" si="328"/>
        <v>0</v>
      </c>
      <c r="I367" s="25">
        <f t="shared" si="329"/>
        <v>0</v>
      </c>
      <c r="J367" s="25">
        <f t="shared" si="330"/>
        <v>0</v>
      </c>
      <c r="K367" s="26" t="s">
        <v>53</v>
      </c>
      <c r="Z367" s="25">
        <f t="shared" si="331"/>
        <v>0</v>
      </c>
      <c r="AB367" s="25">
        <f t="shared" si="332"/>
        <v>0</v>
      </c>
      <c r="AC367" s="25">
        <f t="shared" si="333"/>
        <v>0</v>
      </c>
      <c r="AD367" s="25">
        <f t="shared" si="334"/>
        <v>0</v>
      </c>
      <c r="AE367" s="25">
        <f t="shared" si="335"/>
        <v>0</v>
      </c>
      <c r="AF367" s="25">
        <f t="shared" si="336"/>
        <v>0</v>
      </c>
      <c r="AG367" s="25">
        <f t="shared" si="337"/>
        <v>0</v>
      </c>
      <c r="AH367" s="25">
        <f t="shared" si="338"/>
        <v>0</v>
      </c>
      <c r="AI367" s="11" t="s">
        <v>46</v>
      </c>
      <c r="AJ367" s="25">
        <f t="shared" si="339"/>
        <v>0</v>
      </c>
      <c r="AK367" s="25">
        <f t="shared" si="340"/>
        <v>0</v>
      </c>
      <c r="AL367" s="25">
        <f t="shared" si="341"/>
        <v>0</v>
      </c>
      <c r="AN367" s="25">
        <v>21</v>
      </c>
      <c r="AO367" s="25">
        <f t="shared" si="352"/>
        <v>0</v>
      </c>
      <c r="AP367" s="25">
        <f t="shared" si="353"/>
        <v>0</v>
      </c>
      <c r="AQ367" s="27" t="s">
        <v>76</v>
      </c>
      <c r="AV367" s="25">
        <f t="shared" si="342"/>
        <v>0</v>
      </c>
      <c r="AW367" s="25">
        <f t="shared" si="343"/>
        <v>0</v>
      </c>
      <c r="AX367" s="25">
        <f t="shared" si="344"/>
        <v>0</v>
      </c>
      <c r="AY367" s="27" t="s">
        <v>1027</v>
      </c>
      <c r="AZ367" s="27" t="s">
        <v>585</v>
      </c>
      <c r="BA367" s="11" t="s">
        <v>56</v>
      </c>
      <c r="BC367" s="25">
        <f t="shared" si="345"/>
        <v>0</v>
      </c>
      <c r="BD367" s="25">
        <f t="shared" si="346"/>
        <v>0</v>
      </c>
      <c r="BE367" s="25">
        <v>0</v>
      </c>
      <c r="BF367" s="25">
        <f>367</f>
        <v>367</v>
      </c>
      <c r="BH367" s="25">
        <f t="shared" si="347"/>
        <v>0</v>
      </c>
      <c r="BI367" s="25">
        <f t="shared" si="348"/>
        <v>0</v>
      </c>
      <c r="BJ367" s="25">
        <f t="shared" si="349"/>
        <v>0</v>
      </c>
      <c r="BK367" s="27" t="s">
        <v>57</v>
      </c>
      <c r="BL367" s="25">
        <v>728</v>
      </c>
      <c r="BW367" s="25">
        <v>21</v>
      </c>
      <c r="BX367" s="5" t="s">
        <v>1115</v>
      </c>
    </row>
    <row r="368" spans="1:76" x14ac:dyDescent="0.25">
      <c r="A368" s="2" t="s">
        <v>1116</v>
      </c>
      <c r="B368" s="3" t="s">
        <v>1117</v>
      </c>
      <c r="C368" s="93" t="s">
        <v>1118</v>
      </c>
      <c r="D368" s="94"/>
      <c r="E368" s="3" t="s">
        <v>52</v>
      </c>
      <c r="F368" s="25">
        <v>1</v>
      </c>
      <c r="G368" s="25">
        <v>0</v>
      </c>
      <c r="H368" s="25">
        <f t="shared" si="328"/>
        <v>0</v>
      </c>
      <c r="I368" s="25">
        <f t="shared" si="329"/>
        <v>0</v>
      </c>
      <c r="J368" s="25">
        <f t="shared" si="330"/>
        <v>0</v>
      </c>
      <c r="K368" s="26" t="s">
        <v>53</v>
      </c>
      <c r="Z368" s="25">
        <f t="shared" si="331"/>
        <v>0</v>
      </c>
      <c r="AB368" s="25">
        <f t="shared" si="332"/>
        <v>0</v>
      </c>
      <c r="AC368" s="25">
        <f t="shared" si="333"/>
        <v>0</v>
      </c>
      <c r="AD368" s="25">
        <f t="shared" si="334"/>
        <v>0</v>
      </c>
      <c r="AE368" s="25">
        <f t="shared" si="335"/>
        <v>0</v>
      </c>
      <c r="AF368" s="25">
        <f t="shared" si="336"/>
        <v>0</v>
      </c>
      <c r="AG368" s="25">
        <f t="shared" si="337"/>
        <v>0</v>
      </c>
      <c r="AH368" s="25">
        <f t="shared" si="338"/>
        <v>0</v>
      </c>
      <c r="AI368" s="11" t="s">
        <v>46</v>
      </c>
      <c r="AJ368" s="25">
        <f t="shared" si="339"/>
        <v>0</v>
      </c>
      <c r="AK368" s="25">
        <f t="shared" si="340"/>
        <v>0</v>
      </c>
      <c r="AL368" s="25">
        <f t="shared" si="341"/>
        <v>0</v>
      </c>
      <c r="AN368" s="25">
        <v>21</v>
      </c>
      <c r="AO368" s="25">
        <f t="shared" si="352"/>
        <v>0</v>
      </c>
      <c r="AP368" s="25">
        <f t="shared" si="353"/>
        <v>0</v>
      </c>
      <c r="AQ368" s="27" t="s">
        <v>76</v>
      </c>
      <c r="AV368" s="25">
        <f t="shared" si="342"/>
        <v>0</v>
      </c>
      <c r="AW368" s="25">
        <f t="shared" si="343"/>
        <v>0</v>
      </c>
      <c r="AX368" s="25">
        <f t="shared" si="344"/>
        <v>0</v>
      </c>
      <c r="AY368" s="27" t="s">
        <v>1027</v>
      </c>
      <c r="AZ368" s="27" t="s">
        <v>585</v>
      </c>
      <c r="BA368" s="11" t="s">
        <v>56</v>
      </c>
      <c r="BC368" s="25">
        <f t="shared" si="345"/>
        <v>0</v>
      </c>
      <c r="BD368" s="25">
        <f t="shared" si="346"/>
        <v>0</v>
      </c>
      <c r="BE368" s="25">
        <v>0</v>
      </c>
      <c r="BF368" s="25">
        <f>368</f>
        <v>368</v>
      </c>
      <c r="BH368" s="25">
        <f t="shared" si="347"/>
        <v>0</v>
      </c>
      <c r="BI368" s="25">
        <f t="shared" si="348"/>
        <v>0</v>
      </c>
      <c r="BJ368" s="25">
        <f t="shared" si="349"/>
        <v>0</v>
      </c>
      <c r="BK368" s="27" t="s">
        <v>57</v>
      </c>
      <c r="BL368" s="25">
        <v>728</v>
      </c>
      <c r="BW368" s="25">
        <v>21</v>
      </c>
      <c r="BX368" s="5" t="s">
        <v>1118</v>
      </c>
    </row>
    <row r="369" spans="1:76" x14ac:dyDescent="0.25">
      <c r="A369" s="2" t="s">
        <v>1119</v>
      </c>
      <c r="B369" s="3" t="s">
        <v>1120</v>
      </c>
      <c r="C369" s="93" t="s">
        <v>1121</v>
      </c>
      <c r="D369" s="94"/>
      <c r="E369" s="3" t="s">
        <v>52</v>
      </c>
      <c r="F369" s="25">
        <v>13</v>
      </c>
      <c r="G369" s="25">
        <v>0</v>
      </c>
      <c r="H369" s="25">
        <f t="shared" si="328"/>
        <v>0</v>
      </c>
      <c r="I369" s="25">
        <f t="shared" si="329"/>
        <v>0</v>
      </c>
      <c r="J369" s="25">
        <f t="shared" si="330"/>
        <v>0</v>
      </c>
      <c r="K369" s="26" t="s">
        <v>53</v>
      </c>
      <c r="Z369" s="25">
        <f t="shared" si="331"/>
        <v>0</v>
      </c>
      <c r="AB369" s="25">
        <f t="shared" si="332"/>
        <v>0</v>
      </c>
      <c r="AC369" s="25">
        <f t="shared" si="333"/>
        <v>0</v>
      </c>
      <c r="AD369" s="25">
        <f t="shared" si="334"/>
        <v>0</v>
      </c>
      <c r="AE369" s="25">
        <f t="shared" si="335"/>
        <v>0</v>
      </c>
      <c r="AF369" s="25">
        <f t="shared" si="336"/>
        <v>0</v>
      </c>
      <c r="AG369" s="25">
        <f t="shared" si="337"/>
        <v>0</v>
      </c>
      <c r="AH369" s="25">
        <f t="shared" si="338"/>
        <v>0</v>
      </c>
      <c r="AI369" s="11" t="s">
        <v>46</v>
      </c>
      <c r="AJ369" s="25">
        <f t="shared" si="339"/>
        <v>0</v>
      </c>
      <c r="AK369" s="25">
        <f t="shared" si="340"/>
        <v>0</v>
      </c>
      <c r="AL369" s="25">
        <f t="shared" si="341"/>
        <v>0</v>
      </c>
      <c r="AN369" s="25">
        <v>21</v>
      </c>
      <c r="AO369" s="25">
        <f>G369*0.529999372</f>
        <v>0</v>
      </c>
      <c r="AP369" s="25">
        <f>G369*(1-0.529999372)</f>
        <v>0</v>
      </c>
      <c r="AQ369" s="27" t="s">
        <v>76</v>
      </c>
      <c r="AV369" s="25">
        <f t="shared" si="342"/>
        <v>0</v>
      </c>
      <c r="AW369" s="25">
        <f t="shared" si="343"/>
        <v>0</v>
      </c>
      <c r="AX369" s="25">
        <f t="shared" si="344"/>
        <v>0</v>
      </c>
      <c r="AY369" s="27" t="s">
        <v>1027</v>
      </c>
      <c r="AZ369" s="27" t="s">
        <v>585</v>
      </c>
      <c r="BA369" s="11" t="s">
        <v>56</v>
      </c>
      <c r="BC369" s="25">
        <f t="shared" si="345"/>
        <v>0</v>
      </c>
      <c r="BD369" s="25">
        <f t="shared" si="346"/>
        <v>0</v>
      </c>
      <c r="BE369" s="25">
        <v>0</v>
      </c>
      <c r="BF369" s="25">
        <f>369</f>
        <v>369</v>
      </c>
      <c r="BH369" s="25">
        <f t="shared" si="347"/>
        <v>0</v>
      </c>
      <c r="BI369" s="25">
        <f t="shared" si="348"/>
        <v>0</v>
      </c>
      <c r="BJ369" s="25">
        <f t="shared" si="349"/>
        <v>0</v>
      </c>
      <c r="BK369" s="27" t="s">
        <v>57</v>
      </c>
      <c r="BL369" s="25">
        <v>728</v>
      </c>
      <c r="BW369" s="25">
        <v>21</v>
      </c>
      <c r="BX369" s="5" t="s">
        <v>1121</v>
      </c>
    </row>
    <row r="370" spans="1:76" x14ac:dyDescent="0.25">
      <c r="A370" s="2" t="s">
        <v>1122</v>
      </c>
      <c r="B370" s="3" t="s">
        <v>1123</v>
      </c>
      <c r="C370" s="93" t="s">
        <v>1124</v>
      </c>
      <c r="D370" s="94"/>
      <c r="E370" s="3" t="s">
        <v>52</v>
      </c>
      <c r="F370" s="25">
        <v>1</v>
      </c>
      <c r="G370" s="25">
        <v>0</v>
      </c>
      <c r="H370" s="25">
        <f t="shared" ref="H370:H401" si="354">ROUND(F370*AO370,2)</f>
        <v>0</v>
      </c>
      <c r="I370" s="25">
        <f t="shared" ref="I370:I401" si="355">ROUND(F370*AP370,2)</f>
        <v>0</v>
      </c>
      <c r="J370" s="25">
        <f t="shared" ref="J370:J401" si="356">ROUND(F370*G370,1)</f>
        <v>0</v>
      </c>
      <c r="K370" s="26" t="s">
        <v>53</v>
      </c>
      <c r="Z370" s="25">
        <f t="shared" ref="Z370:Z401" si="357">ROUND(IF(AQ370="5",BJ370,0),2)</f>
        <v>0</v>
      </c>
      <c r="AB370" s="25">
        <f t="shared" ref="AB370:AB401" si="358">ROUND(IF(AQ370="1",BH370,0),2)</f>
        <v>0</v>
      </c>
      <c r="AC370" s="25">
        <f t="shared" ref="AC370:AC401" si="359">ROUND(IF(AQ370="1",BI370,0),2)</f>
        <v>0</v>
      </c>
      <c r="AD370" s="25">
        <f t="shared" ref="AD370:AD401" si="360">ROUND(IF(AQ370="7",BH370,0),2)</f>
        <v>0</v>
      </c>
      <c r="AE370" s="25">
        <f t="shared" ref="AE370:AE401" si="361">ROUND(IF(AQ370="7",BI370,0),2)</f>
        <v>0</v>
      </c>
      <c r="AF370" s="25">
        <f t="shared" ref="AF370:AF401" si="362">ROUND(IF(AQ370="2",BH370,0),2)</f>
        <v>0</v>
      </c>
      <c r="AG370" s="25">
        <f t="shared" ref="AG370:AG401" si="363">ROUND(IF(AQ370="2",BI370,0),2)</f>
        <v>0</v>
      </c>
      <c r="AH370" s="25">
        <f t="shared" ref="AH370:AH401" si="364">ROUND(IF(AQ370="0",BJ370,0),2)</f>
        <v>0</v>
      </c>
      <c r="AI370" s="11" t="s">
        <v>46</v>
      </c>
      <c r="AJ370" s="25">
        <f t="shared" ref="AJ370:AJ401" si="365">IF(AN370=0,J370,0)</f>
        <v>0</v>
      </c>
      <c r="AK370" s="25">
        <f t="shared" ref="AK370:AK401" si="366">IF(AN370=12,J370,0)</f>
        <v>0</v>
      </c>
      <c r="AL370" s="25">
        <f t="shared" ref="AL370:AL401" si="367">IF(AN370=21,J370,0)</f>
        <v>0</v>
      </c>
      <c r="AN370" s="25">
        <v>21</v>
      </c>
      <c r="AO370" s="25">
        <f>G370*0.529976434</f>
        <v>0</v>
      </c>
      <c r="AP370" s="25">
        <f>G370*(1-0.529976434)</f>
        <v>0</v>
      </c>
      <c r="AQ370" s="27" t="s">
        <v>76</v>
      </c>
      <c r="AV370" s="25">
        <f t="shared" ref="AV370:AV401" si="368">ROUND(AW370+AX370,2)</f>
        <v>0</v>
      </c>
      <c r="AW370" s="25">
        <f t="shared" ref="AW370:AW401" si="369">ROUND(F370*AO370,2)</f>
        <v>0</v>
      </c>
      <c r="AX370" s="25">
        <f t="shared" ref="AX370:AX401" si="370">ROUND(F370*AP370,2)</f>
        <v>0</v>
      </c>
      <c r="AY370" s="27" t="s">
        <v>1027</v>
      </c>
      <c r="AZ370" s="27" t="s">
        <v>585</v>
      </c>
      <c r="BA370" s="11" t="s">
        <v>56</v>
      </c>
      <c r="BC370" s="25">
        <f t="shared" ref="BC370:BC401" si="371">AW370+AX370</f>
        <v>0</v>
      </c>
      <c r="BD370" s="25">
        <f t="shared" ref="BD370:BD401" si="372">G370/(100-BE370)*100</f>
        <v>0</v>
      </c>
      <c r="BE370" s="25">
        <v>0</v>
      </c>
      <c r="BF370" s="25">
        <f>370</f>
        <v>370</v>
      </c>
      <c r="BH370" s="25">
        <f t="shared" ref="BH370:BH401" si="373">F370*AO370</f>
        <v>0</v>
      </c>
      <c r="BI370" s="25">
        <f t="shared" ref="BI370:BI401" si="374">F370*AP370</f>
        <v>0</v>
      </c>
      <c r="BJ370" s="25">
        <f t="shared" ref="BJ370:BJ401" si="375">F370*G370</f>
        <v>0</v>
      </c>
      <c r="BK370" s="27" t="s">
        <v>57</v>
      </c>
      <c r="BL370" s="25">
        <v>728</v>
      </c>
      <c r="BW370" s="25">
        <v>21</v>
      </c>
      <c r="BX370" s="5" t="s">
        <v>1124</v>
      </c>
    </row>
    <row r="371" spans="1:76" x14ac:dyDescent="0.25">
      <c r="A371" s="2" t="s">
        <v>1125</v>
      </c>
      <c r="B371" s="3" t="s">
        <v>1126</v>
      </c>
      <c r="C371" s="93" t="s">
        <v>1127</v>
      </c>
      <c r="D371" s="94"/>
      <c r="E371" s="3" t="s">
        <v>52</v>
      </c>
      <c r="F371" s="25">
        <v>1</v>
      </c>
      <c r="G371" s="25">
        <v>0</v>
      </c>
      <c r="H371" s="25">
        <f t="shared" si="354"/>
        <v>0</v>
      </c>
      <c r="I371" s="25">
        <f t="shared" si="355"/>
        <v>0</v>
      </c>
      <c r="J371" s="25">
        <f t="shared" si="356"/>
        <v>0</v>
      </c>
      <c r="K371" s="26" t="s">
        <v>53</v>
      </c>
      <c r="Z371" s="25">
        <f t="shared" si="357"/>
        <v>0</v>
      </c>
      <c r="AB371" s="25">
        <f t="shared" si="358"/>
        <v>0</v>
      </c>
      <c r="AC371" s="25">
        <f t="shared" si="359"/>
        <v>0</v>
      </c>
      <c r="AD371" s="25">
        <f t="shared" si="360"/>
        <v>0</v>
      </c>
      <c r="AE371" s="25">
        <f t="shared" si="361"/>
        <v>0</v>
      </c>
      <c r="AF371" s="25">
        <f t="shared" si="362"/>
        <v>0</v>
      </c>
      <c r="AG371" s="25">
        <f t="shared" si="363"/>
        <v>0</v>
      </c>
      <c r="AH371" s="25">
        <f t="shared" si="364"/>
        <v>0</v>
      </c>
      <c r="AI371" s="11" t="s">
        <v>46</v>
      </c>
      <c r="AJ371" s="25">
        <f t="shared" si="365"/>
        <v>0</v>
      </c>
      <c r="AK371" s="25">
        <f t="shared" si="366"/>
        <v>0</v>
      </c>
      <c r="AL371" s="25">
        <f t="shared" si="367"/>
        <v>0</v>
      </c>
      <c r="AN371" s="25">
        <v>21</v>
      </c>
      <c r="AO371" s="25">
        <f>G371*0.53</f>
        <v>0</v>
      </c>
      <c r="AP371" s="25">
        <f>G371*(1-0.53)</f>
        <v>0</v>
      </c>
      <c r="AQ371" s="27" t="s">
        <v>76</v>
      </c>
      <c r="AV371" s="25">
        <f t="shared" si="368"/>
        <v>0</v>
      </c>
      <c r="AW371" s="25">
        <f t="shared" si="369"/>
        <v>0</v>
      </c>
      <c r="AX371" s="25">
        <f t="shared" si="370"/>
        <v>0</v>
      </c>
      <c r="AY371" s="27" t="s">
        <v>1027</v>
      </c>
      <c r="AZ371" s="27" t="s">
        <v>585</v>
      </c>
      <c r="BA371" s="11" t="s">
        <v>56</v>
      </c>
      <c r="BC371" s="25">
        <f t="shared" si="371"/>
        <v>0</v>
      </c>
      <c r="BD371" s="25">
        <f t="shared" si="372"/>
        <v>0</v>
      </c>
      <c r="BE371" s="25">
        <v>0</v>
      </c>
      <c r="BF371" s="25">
        <f>371</f>
        <v>371</v>
      </c>
      <c r="BH371" s="25">
        <f t="shared" si="373"/>
        <v>0</v>
      </c>
      <c r="BI371" s="25">
        <f t="shared" si="374"/>
        <v>0</v>
      </c>
      <c r="BJ371" s="25">
        <f t="shared" si="375"/>
        <v>0</v>
      </c>
      <c r="BK371" s="27" t="s">
        <v>57</v>
      </c>
      <c r="BL371" s="25">
        <v>728</v>
      </c>
      <c r="BW371" s="25">
        <v>21</v>
      </c>
      <c r="BX371" s="5" t="s">
        <v>1127</v>
      </c>
    </row>
    <row r="372" spans="1:76" x14ac:dyDescent="0.25">
      <c r="A372" s="2" t="s">
        <v>1128</v>
      </c>
      <c r="B372" s="3" t="s">
        <v>1129</v>
      </c>
      <c r="C372" s="93" t="s">
        <v>1130</v>
      </c>
      <c r="D372" s="94"/>
      <c r="E372" s="3" t="s">
        <v>52</v>
      </c>
      <c r="F372" s="25">
        <v>1</v>
      </c>
      <c r="G372" s="25">
        <v>0</v>
      </c>
      <c r="H372" s="25">
        <f t="shared" si="354"/>
        <v>0</v>
      </c>
      <c r="I372" s="25">
        <f t="shared" si="355"/>
        <v>0</v>
      </c>
      <c r="J372" s="25">
        <f t="shared" si="356"/>
        <v>0</v>
      </c>
      <c r="K372" s="26" t="s">
        <v>53</v>
      </c>
      <c r="Z372" s="25">
        <f t="shared" si="357"/>
        <v>0</v>
      </c>
      <c r="AB372" s="25">
        <f t="shared" si="358"/>
        <v>0</v>
      </c>
      <c r="AC372" s="25">
        <f t="shared" si="359"/>
        <v>0</v>
      </c>
      <c r="AD372" s="25">
        <f t="shared" si="360"/>
        <v>0</v>
      </c>
      <c r="AE372" s="25">
        <f t="shared" si="361"/>
        <v>0</v>
      </c>
      <c r="AF372" s="25">
        <f t="shared" si="362"/>
        <v>0</v>
      </c>
      <c r="AG372" s="25">
        <f t="shared" si="363"/>
        <v>0</v>
      </c>
      <c r="AH372" s="25">
        <f t="shared" si="364"/>
        <v>0</v>
      </c>
      <c r="AI372" s="11" t="s">
        <v>46</v>
      </c>
      <c r="AJ372" s="25">
        <f t="shared" si="365"/>
        <v>0</v>
      </c>
      <c r="AK372" s="25">
        <f t="shared" si="366"/>
        <v>0</v>
      </c>
      <c r="AL372" s="25">
        <f t="shared" si="367"/>
        <v>0</v>
      </c>
      <c r="AN372" s="25">
        <v>21</v>
      </c>
      <c r="AO372" s="25">
        <f>G372*0.530004085</f>
        <v>0</v>
      </c>
      <c r="AP372" s="25">
        <f>G372*(1-0.530004085)</f>
        <v>0</v>
      </c>
      <c r="AQ372" s="27" t="s">
        <v>76</v>
      </c>
      <c r="AV372" s="25">
        <f t="shared" si="368"/>
        <v>0</v>
      </c>
      <c r="AW372" s="25">
        <f t="shared" si="369"/>
        <v>0</v>
      </c>
      <c r="AX372" s="25">
        <f t="shared" si="370"/>
        <v>0</v>
      </c>
      <c r="AY372" s="27" t="s">
        <v>1027</v>
      </c>
      <c r="AZ372" s="27" t="s">
        <v>585</v>
      </c>
      <c r="BA372" s="11" t="s">
        <v>56</v>
      </c>
      <c r="BC372" s="25">
        <f t="shared" si="371"/>
        <v>0</v>
      </c>
      <c r="BD372" s="25">
        <f t="shared" si="372"/>
        <v>0</v>
      </c>
      <c r="BE372" s="25">
        <v>0</v>
      </c>
      <c r="BF372" s="25">
        <f>372</f>
        <v>372</v>
      </c>
      <c r="BH372" s="25">
        <f t="shared" si="373"/>
        <v>0</v>
      </c>
      <c r="BI372" s="25">
        <f t="shared" si="374"/>
        <v>0</v>
      </c>
      <c r="BJ372" s="25">
        <f t="shared" si="375"/>
        <v>0</v>
      </c>
      <c r="BK372" s="27" t="s">
        <v>57</v>
      </c>
      <c r="BL372" s="25">
        <v>728</v>
      </c>
      <c r="BW372" s="25">
        <v>21</v>
      </c>
      <c r="BX372" s="5" t="s">
        <v>1130</v>
      </c>
    </row>
    <row r="373" spans="1:76" x14ac:dyDescent="0.25">
      <c r="A373" s="2" t="s">
        <v>1131</v>
      </c>
      <c r="B373" s="3" t="s">
        <v>1132</v>
      </c>
      <c r="C373" s="93" t="s">
        <v>1133</v>
      </c>
      <c r="D373" s="94"/>
      <c r="E373" s="3" t="s">
        <v>52</v>
      </c>
      <c r="F373" s="25">
        <v>8</v>
      </c>
      <c r="G373" s="25">
        <v>0</v>
      </c>
      <c r="H373" s="25">
        <f t="shared" si="354"/>
        <v>0</v>
      </c>
      <c r="I373" s="25">
        <f t="shared" si="355"/>
        <v>0</v>
      </c>
      <c r="J373" s="25">
        <f t="shared" si="356"/>
        <v>0</v>
      </c>
      <c r="K373" s="26" t="s">
        <v>53</v>
      </c>
      <c r="Z373" s="25">
        <f t="shared" si="357"/>
        <v>0</v>
      </c>
      <c r="AB373" s="25">
        <f t="shared" si="358"/>
        <v>0</v>
      </c>
      <c r="AC373" s="25">
        <f t="shared" si="359"/>
        <v>0</v>
      </c>
      <c r="AD373" s="25">
        <f t="shared" si="360"/>
        <v>0</v>
      </c>
      <c r="AE373" s="25">
        <f t="shared" si="361"/>
        <v>0</v>
      </c>
      <c r="AF373" s="25">
        <f t="shared" si="362"/>
        <v>0</v>
      </c>
      <c r="AG373" s="25">
        <f t="shared" si="363"/>
        <v>0</v>
      </c>
      <c r="AH373" s="25">
        <f t="shared" si="364"/>
        <v>0</v>
      </c>
      <c r="AI373" s="11" t="s">
        <v>46</v>
      </c>
      <c r="AJ373" s="25">
        <f t="shared" si="365"/>
        <v>0</v>
      </c>
      <c r="AK373" s="25">
        <f t="shared" si="366"/>
        <v>0</v>
      </c>
      <c r="AL373" s="25">
        <f t="shared" si="367"/>
        <v>0</v>
      </c>
      <c r="AN373" s="25">
        <v>21</v>
      </c>
      <c r="AO373" s="25">
        <f>G373*0.529997543</f>
        <v>0</v>
      </c>
      <c r="AP373" s="25">
        <f>G373*(1-0.529997543)</f>
        <v>0</v>
      </c>
      <c r="AQ373" s="27" t="s">
        <v>76</v>
      </c>
      <c r="AV373" s="25">
        <f t="shared" si="368"/>
        <v>0</v>
      </c>
      <c r="AW373" s="25">
        <f t="shared" si="369"/>
        <v>0</v>
      </c>
      <c r="AX373" s="25">
        <f t="shared" si="370"/>
        <v>0</v>
      </c>
      <c r="AY373" s="27" t="s">
        <v>1027</v>
      </c>
      <c r="AZ373" s="27" t="s">
        <v>585</v>
      </c>
      <c r="BA373" s="11" t="s">
        <v>56</v>
      </c>
      <c r="BC373" s="25">
        <f t="shared" si="371"/>
        <v>0</v>
      </c>
      <c r="BD373" s="25">
        <f t="shared" si="372"/>
        <v>0</v>
      </c>
      <c r="BE373" s="25">
        <v>0</v>
      </c>
      <c r="BF373" s="25">
        <f>373</f>
        <v>373</v>
      </c>
      <c r="BH373" s="25">
        <f t="shared" si="373"/>
        <v>0</v>
      </c>
      <c r="BI373" s="25">
        <f t="shared" si="374"/>
        <v>0</v>
      </c>
      <c r="BJ373" s="25">
        <f t="shared" si="375"/>
        <v>0</v>
      </c>
      <c r="BK373" s="27" t="s">
        <v>57</v>
      </c>
      <c r="BL373" s="25">
        <v>728</v>
      </c>
      <c r="BW373" s="25">
        <v>21</v>
      </c>
      <c r="BX373" s="5" t="s">
        <v>1133</v>
      </c>
    </row>
    <row r="374" spans="1:76" x14ac:dyDescent="0.25">
      <c r="A374" s="2" t="s">
        <v>1134</v>
      </c>
      <c r="B374" s="3" t="s">
        <v>1135</v>
      </c>
      <c r="C374" s="93" t="s">
        <v>1136</v>
      </c>
      <c r="D374" s="94"/>
      <c r="E374" s="3" t="s">
        <v>93</v>
      </c>
      <c r="F374" s="25">
        <v>65.62</v>
      </c>
      <c r="G374" s="25">
        <v>0</v>
      </c>
      <c r="H374" s="25">
        <f t="shared" si="354"/>
        <v>0</v>
      </c>
      <c r="I374" s="25">
        <f t="shared" si="355"/>
        <v>0</v>
      </c>
      <c r="J374" s="25">
        <f t="shared" si="356"/>
        <v>0</v>
      </c>
      <c r="K374" s="26" t="s">
        <v>53</v>
      </c>
      <c r="Z374" s="25">
        <f t="shared" si="357"/>
        <v>0</v>
      </c>
      <c r="AB374" s="25">
        <f t="shared" si="358"/>
        <v>0</v>
      </c>
      <c r="AC374" s="25">
        <f t="shared" si="359"/>
        <v>0</v>
      </c>
      <c r="AD374" s="25">
        <f t="shared" si="360"/>
        <v>0</v>
      </c>
      <c r="AE374" s="25">
        <f t="shared" si="361"/>
        <v>0</v>
      </c>
      <c r="AF374" s="25">
        <f t="shared" si="362"/>
        <v>0</v>
      </c>
      <c r="AG374" s="25">
        <f t="shared" si="363"/>
        <v>0</v>
      </c>
      <c r="AH374" s="25">
        <f t="shared" si="364"/>
        <v>0</v>
      </c>
      <c r="AI374" s="11" t="s">
        <v>46</v>
      </c>
      <c r="AJ374" s="25">
        <f t="shared" si="365"/>
        <v>0</v>
      </c>
      <c r="AK374" s="25">
        <f t="shared" si="366"/>
        <v>0</v>
      </c>
      <c r="AL374" s="25">
        <f t="shared" si="367"/>
        <v>0</v>
      </c>
      <c r="AN374" s="25">
        <v>21</v>
      </c>
      <c r="AO374" s="25">
        <f>G374*0.529997724</f>
        <v>0</v>
      </c>
      <c r="AP374" s="25">
        <f>G374*(1-0.529997724)</f>
        <v>0</v>
      </c>
      <c r="AQ374" s="27" t="s">
        <v>76</v>
      </c>
      <c r="AV374" s="25">
        <f t="shared" si="368"/>
        <v>0</v>
      </c>
      <c r="AW374" s="25">
        <f t="shared" si="369"/>
        <v>0</v>
      </c>
      <c r="AX374" s="25">
        <f t="shared" si="370"/>
        <v>0</v>
      </c>
      <c r="AY374" s="27" t="s">
        <v>1027</v>
      </c>
      <c r="AZ374" s="27" t="s">
        <v>585</v>
      </c>
      <c r="BA374" s="11" t="s">
        <v>56</v>
      </c>
      <c r="BC374" s="25">
        <f t="shared" si="371"/>
        <v>0</v>
      </c>
      <c r="BD374" s="25">
        <f t="shared" si="372"/>
        <v>0</v>
      </c>
      <c r="BE374" s="25">
        <v>0</v>
      </c>
      <c r="BF374" s="25">
        <f>374</f>
        <v>374</v>
      </c>
      <c r="BH374" s="25">
        <f t="shared" si="373"/>
        <v>0</v>
      </c>
      <c r="BI374" s="25">
        <f t="shared" si="374"/>
        <v>0</v>
      </c>
      <c r="BJ374" s="25">
        <f t="shared" si="375"/>
        <v>0</v>
      </c>
      <c r="BK374" s="27" t="s">
        <v>57</v>
      </c>
      <c r="BL374" s="25">
        <v>728</v>
      </c>
      <c r="BW374" s="25">
        <v>21</v>
      </c>
      <c r="BX374" s="5" t="s">
        <v>1136</v>
      </c>
    </row>
    <row r="375" spans="1:76" x14ac:dyDescent="0.25">
      <c r="A375" s="2" t="s">
        <v>1137</v>
      </c>
      <c r="B375" s="3" t="s">
        <v>1138</v>
      </c>
      <c r="C375" s="93" t="s">
        <v>1139</v>
      </c>
      <c r="D375" s="94"/>
      <c r="E375" s="3" t="s">
        <v>93</v>
      </c>
      <c r="F375" s="25">
        <v>43.76</v>
      </c>
      <c r="G375" s="25">
        <v>0</v>
      </c>
      <c r="H375" s="25">
        <f t="shared" si="354"/>
        <v>0</v>
      </c>
      <c r="I375" s="25">
        <f t="shared" si="355"/>
        <v>0</v>
      </c>
      <c r="J375" s="25">
        <f t="shared" si="356"/>
        <v>0</v>
      </c>
      <c r="K375" s="26" t="s">
        <v>53</v>
      </c>
      <c r="Z375" s="25">
        <f t="shared" si="357"/>
        <v>0</v>
      </c>
      <c r="AB375" s="25">
        <f t="shared" si="358"/>
        <v>0</v>
      </c>
      <c r="AC375" s="25">
        <f t="shared" si="359"/>
        <v>0</v>
      </c>
      <c r="AD375" s="25">
        <f t="shared" si="360"/>
        <v>0</v>
      </c>
      <c r="AE375" s="25">
        <f t="shared" si="361"/>
        <v>0</v>
      </c>
      <c r="AF375" s="25">
        <f t="shared" si="362"/>
        <v>0</v>
      </c>
      <c r="AG375" s="25">
        <f t="shared" si="363"/>
        <v>0</v>
      </c>
      <c r="AH375" s="25">
        <f t="shared" si="364"/>
        <v>0</v>
      </c>
      <c r="AI375" s="11" t="s">
        <v>46</v>
      </c>
      <c r="AJ375" s="25">
        <f t="shared" si="365"/>
        <v>0</v>
      </c>
      <c r="AK375" s="25">
        <f t="shared" si="366"/>
        <v>0</v>
      </c>
      <c r="AL375" s="25">
        <f t="shared" si="367"/>
        <v>0</v>
      </c>
      <c r="AN375" s="25">
        <v>21</v>
      </c>
      <c r="AO375" s="25">
        <f>G375*0.52999916</f>
        <v>0</v>
      </c>
      <c r="AP375" s="25">
        <f>G375*(1-0.52999916)</f>
        <v>0</v>
      </c>
      <c r="AQ375" s="27" t="s">
        <v>76</v>
      </c>
      <c r="AV375" s="25">
        <f t="shared" si="368"/>
        <v>0</v>
      </c>
      <c r="AW375" s="25">
        <f t="shared" si="369"/>
        <v>0</v>
      </c>
      <c r="AX375" s="25">
        <f t="shared" si="370"/>
        <v>0</v>
      </c>
      <c r="AY375" s="27" t="s">
        <v>1027</v>
      </c>
      <c r="AZ375" s="27" t="s">
        <v>585</v>
      </c>
      <c r="BA375" s="11" t="s">
        <v>56</v>
      </c>
      <c r="BC375" s="25">
        <f t="shared" si="371"/>
        <v>0</v>
      </c>
      <c r="BD375" s="25">
        <f t="shared" si="372"/>
        <v>0</v>
      </c>
      <c r="BE375" s="25">
        <v>0</v>
      </c>
      <c r="BF375" s="25">
        <f>375</f>
        <v>375</v>
      </c>
      <c r="BH375" s="25">
        <f t="shared" si="373"/>
        <v>0</v>
      </c>
      <c r="BI375" s="25">
        <f t="shared" si="374"/>
        <v>0</v>
      </c>
      <c r="BJ375" s="25">
        <f t="shared" si="375"/>
        <v>0</v>
      </c>
      <c r="BK375" s="27" t="s">
        <v>57</v>
      </c>
      <c r="BL375" s="25">
        <v>728</v>
      </c>
      <c r="BW375" s="25">
        <v>21</v>
      </c>
      <c r="BX375" s="5" t="s">
        <v>1139</v>
      </c>
    </row>
    <row r="376" spans="1:76" x14ac:dyDescent="0.25">
      <c r="A376" s="2" t="s">
        <v>1140</v>
      </c>
      <c r="B376" s="3" t="s">
        <v>1141</v>
      </c>
      <c r="C376" s="93" t="s">
        <v>1142</v>
      </c>
      <c r="D376" s="94"/>
      <c r="E376" s="3" t="s">
        <v>52</v>
      </c>
      <c r="F376" s="25">
        <v>1</v>
      </c>
      <c r="G376" s="25">
        <v>0</v>
      </c>
      <c r="H376" s="25">
        <f t="shared" si="354"/>
        <v>0</v>
      </c>
      <c r="I376" s="25">
        <f t="shared" si="355"/>
        <v>0</v>
      </c>
      <c r="J376" s="25">
        <f t="shared" si="356"/>
        <v>0</v>
      </c>
      <c r="K376" s="26" t="s">
        <v>53</v>
      </c>
      <c r="Z376" s="25">
        <f t="shared" si="357"/>
        <v>0</v>
      </c>
      <c r="AB376" s="25">
        <f t="shared" si="358"/>
        <v>0</v>
      </c>
      <c r="AC376" s="25">
        <f t="shared" si="359"/>
        <v>0</v>
      </c>
      <c r="AD376" s="25">
        <f t="shared" si="360"/>
        <v>0</v>
      </c>
      <c r="AE376" s="25">
        <f t="shared" si="361"/>
        <v>0</v>
      </c>
      <c r="AF376" s="25">
        <f t="shared" si="362"/>
        <v>0</v>
      </c>
      <c r="AG376" s="25">
        <f t="shared" si="363"/>
        <v>0</v>
      </c>
      <c r="AH376" s="25">
        <f t="shared" si="364"/>
        <v>0</v>
      </c>
      <c r="AI376" s="11" t="s">
        <v>46</v>
      </c>
      <c r="AJ376" s="25">
        <f t="shared" si="365"/>
        <v>0</v>
      </c>
      <c r="AK376" s="25">
        <f t="shared" si="366"/>
        <v>0</v>
      </c>
      <c r="AL376" s="25">
        <f t="shared" si="367"/>
        <v>0</v>
      </c>
      <c r="AN376" s="25">
        <v>21</v>
      </c>
      <c r="AO376" s="25">
        <f>G376*0.53</f>
        <v>0</v>
      </c>
      <c r="AP376" s="25">
        <f>G376*(1-0.53)</f>
        <v>0</v>
      </c>
      <c r="AQ376" s="27" t="s">
        <v>76</v>
      </c>
      <c r="AV376" s="25">
        <f t="shared" si="368"/>
        <v>0</v>
      </c>
      <c r="AW376" s="25">
        <f t="shared" si="369"/>
        <v>0</v>
      </c>
      <c r="AX376" s="25">
        <f t="shared" si="370"/>
        <v>0</v>
      </c>
      <c r="AY376" s="27" t="s">
        <v>1027</v>
      </c>
      <c r="AZ376" s="27" t="s">
        <v>585</v>
      </c>
      <c r="BA376" s="11" t="s">
        <v>56</v>
      </c>
      <c r="BC376" s="25">
        <f t="shared" si="371"/>
        <v>0</v>
      </c>
      <c r="BD376" s="25">
        <f t="shared" si="372"/>
        <v>0</v>
      </c>
      <c r="BE376" s="25">
        <v>0</v>
      </c>
      <c r="BF376" s="25">
        <f>376</f>
        <v>376</v>
      </c>
      <c r="BH376" s="25">
        <f t="shared" si="373"/>
        <v>0</v>
      </c>
      <c r="BI376" s="25">
        <f t="shared" si="374"/>
        <v>0</v>
      </c>
      <c r="BJ376" s="25">
        <f t="shared" si="375"/>
        <v>0</v>
      </c>
      <c r="BK376" s="27" t="s">
        <v>57</v>
      </c>
      <c r="BL376" s="25">
        <v>728</v>
      </c>
      <c r="BW376" s="25">
        <v>21</v>
      </c>
      <c r="BX376" s="5" t="s">
        <v>1142</v>
      </c>
    </row>
    <row r="377" spans="1:76" x14ac:dyDescent="0.25">
      <c r="A377" s="2" t="s">
        <v>1143</v>
      </c>
      <c r="B377" s="3" t="s">
        <v>1144</v>
      </c>
      <c r="C377" s="93" t="s">
        <v>1145</v>
      </c>
      <c r="D377" s="94"/>
      <c r="E377" s="3" t="s">
        <v>93</v>
      </c>
      <c r="F377" s="25">
        <v>20.66</v>
      </c>
      <c r="G377" s="25">
        <v>0</v>
      </c>
      <c r="H377" s="25">
        <f t="shared" si="354"/>
        <v>0</v>
      </c>
      <c r="I377" s="25">
        <f t="shared" si="355"/>
        <v>0</v>
      </c>
      <c r="J377" s="25">
        <f t="shared" si="356"/>
        <v>0</v>
      </c>
      <c r="K377" s="26" t="s">
        <v>53</v>
      </c>
      <c r="Z377" s="25">
        <f t="shared" si="357"/>
        <v>0</v>
      </c>
      <c r="AB377" s="25">
        <f t="shared" si="358"/>
        <v>0</v>
      </c>
      <c r="AC377" s="25">
        <f t="shared" si="359"/>
        <v>0</v>
      </c>
      <c r="AD377" s="25">
        <f t="shared" si="360"/>
        <v>0</v>
      </c>
      <c r="AE377" s="25">
        <f t="shared" si="361"/>
        <v>0</v>
      </c>
      <c r="AF377" s="25">
        <f t="shared" si="362"/>
        <v>0</v>
      </c>
      <c r="AG377" s="25">
        <f t="shared" si="363"/>
        <v>0</v>
      </c>
      <c r="AH377" s="25">
        <f t="shared" si="364"/>
        <v>0</v>
      </c>
      <c r="AI377" s="11" t="s">
        <v>46</v>
      </c>
      <c r="AJ377" s="25">
        <f t="shared" si="365"/>
        <v>0</v>
      </c>
      <c r="AK377" s="25">
        <f t="shared" si="366"/>
        <v>0</v>
      </c>
      <c r="AL377" s="25">
        <f t="shared" si="367"/>
        <v>0</v>
      </c>
      <c r="AN377" s="25">
        <v>21</v>
      </c>
      <c r="AO377" s="25">
        <f>G377*0.530000287</f>
        <v>0</v>
      </c>
      <c r="AP377" s="25">
        <f>G377*(1-0.530000287)</f>
        <v>0</v>
      </c>
      <c r="AQ377" s="27" t="s">
        <v>76</v>
      </c>
      <c r="AV377" s="25">
        <f t="shared" si="368"/>
        <v>0</v>
      </c>
      <c r="AW377" s="25">
        <f t="shared" si="369"/>
        <v>0</v>
      </c>
      <c r="AX377" s="25">
        <f t="shared" si="370"/>
        <v>0</v>
      </c>
      <c r="AY377" s="27" t="s">
        <v>1027</v>
      </c>
      <c r="AZ377" s="27" t="s">
        <v>585</v>
      </c>
      <c r="BA377" s="11" t="s">
        <v>56</v>
      </c>
      <c r="BC377" s="25">
        <f t="shared" si="371"/>
        <v>0</v>
      </c>
      <c r="BD377" s="25">
        <f t="shared" si="372"/>
        <v>0</v>
      </c>
      <c r="BE377" s="25">
        <v>0</v>
      </c>
      <c r="BF377" s="25">
        <f>377</f>
        <v>377</v>
      </c>
      <c r="BH377" s="25">
        <f t="shared" si="373"/>
        <v>0</v>
      </c>
      <c r="BI377" s="25">
        <f t="shared" si="374"/>
        <v>0</v>
      </c>
      <c r="BJ377" s="25">
        <f t="shared" si="375"/>
        <v>0</v>
      </c>
      <c r="BK377" s="27" t="s">
        <v>57</v>
      </c>
      <c r="BL377" s="25">
        <v>728</v>
      </c>
      <c r="BW377" s="25">
        <v>21</v>
      </c>
      <c r="BX377" s="5" t="s">
        <v>1145</v>
      </c>
    </row>
    <row r="378" spans="1:76" x14ac:dyDescent="0.25">
      <c r="A378" s="2" t="s">
        <v>1146</v>
      </c>
      <c r="B378" s="3" t="s">
        <v>1147</v>
      </c>
      <c r="C378" s="93" t="s">
        <v>1148</v>
      </c>
      <c r="D378" s="94"/>
      <c r="E378" s="3" t="s">
        <v>93</v>
      </c>
      <c r="F378" s="25">
        <v>6.37</v>
      </c>
      <c r="G378" s="25">
        <v>0</v>
      </c>
      <c r="H378" s="25">
        <f t="shared" si="354"/>
        <v>0</v>
      </c>
      <c r="I378" s="25">
        <f t="shared" si="355"/>
        <v>0</v>
      </c>
      <c r="J378" s="25">
        <f t="shared" si="356"/>
        <v>0</v>
      </c>
      <c r="K378" s="26" t="s">
        <v>53</v>
      </c>
      <c r="Z378" s="25">
        <f t="shared" si="357"/>
        <v>0</v>
      </c>
      <c r="AB378" s="25">
        <f t="shared" si="358"/>
        <v>0</v>
      </c>
      <c r="AC378" s="25">
        <f t="shared" si="359"/>
        <v>0</v>
      </c>
      <c r="AD378" s="25">
        <f t="shared" si="360"/>
        <v>0</v>
      </c>
      <c r="AE378" s="25">
        <f t="shared" si="361"/>
        <v>0</v>
      </c>
      <c r="AF378" s="25">
        <f t="shared" si="362"/>
        <v>0</v>
      </c>
      <c r="AG378" s="25">
        <f t="shared" si="363"/>
        <v>0</v>
      </c>
      <c r="AH378" s="25">
        <f t="shared" si="364"/>
        <v>0</v>
      </c>
      <c r="AI378" s="11" t="s">
        <v>46</v>
      </c>
      <c r="AJ378" s="25">
        <f t="shared" si="365"/>
        <v>0</v>
      </c>
      <c r="AK378" s="25">
        <f t="shared" si="366"/>
        <v>0</v>
      </c>
      <c r="AL378" s="25">
        <f t="shared" si="367"/>
        <v>0</v>
      </c>
      <c r="AN378" s="25">
        <v>21</v>
      </c>
      <c r="AO378" s="25">
        <f>G378*0.53000505</f>
        <v>0</v>
      </c>
      <c r="AP378" s="25">
        <f>G378*(1-0.53000505)</f>
        <v>0</v>
      </c>
      <c r="AQ378" s="27" t="s">
        <v>76</v>
      </c>
      <c r="AV378" s="25">
        <f t="shared" si="368"/>
        <v>0</v>
      </c>
      <c r="AW378" s="25">
        <f t="shared" si="369"/>
        <v>0</v>
      </c>
      <c r="AX378" s="25">
        <f t="shared" si="370"/>
        <v>0</v>
      </c>
      <c r="AY378" s="27" t="s">
        <v>1027</v>
      </c>
      <c r="AZ378" s="27" t="s">
        <v>585</v>
      </c>
      <c r="BA378" s="11" t="s">
        <v>56</v>
      </c>
      <c r="BC378" s="25">
        <f t="shared" si="371"/>
        <v>0</v>
      </c>
      <c r="BD378" s="25">
        <f t="shared" si="372"/>
        <v>0</v>
      </c>
      <c r="BE378" s="25">
        <v>0</v>
      </c>
      <c r="BF378" s="25">
        <f>378</f>
        <v>378</v>
      </c>
      <c r="BH378" s="25">
        <f t="shared" si="373"/>
        <v>0</v>
      </c>
      <c r="BI378" s="25">
        <f t="shared" si="374"/>
        <v>0</v>
      </c>
      <c r="BJ378" s="25">
        <f t="shared" si="375"/>
        <v>0</v>
      </c>
      <c r="BK378" s="27" t="s">
        <v>57</v>
      </c>
      <c r="BL378" s="25">
        <v>728</v>
      </c>
      <c r="BW378" s="25">
        <v>21</v>
      </c>
      <c r="BX378" s="5" t="s">
        <v>1148</v>
      </c>
    </row>
    <row r="379" spans="1:76" x14ac:dyDescent="0.25">
      <c r="A379" s="2" t="s">
        <v>1149</v>
      </c>
      <c r="B379" s="3" t="s">
        <v>1150</v>
      </c>
      <c r="C379" s="93" t="s">
        <v>1151</v>
      </c>
      <c r="D379" s="94"/>
      <c r="E379" s="3" t="s">
        <v>52</v>
      </c>
      <c r="F379" s="25">
        <v>2</v>
      </c>
      <c r="G379" s="25">
        <v>0</v>
      </c>
      <c r="H379" s="25">
        <f t="shared" si="354"/>
        <v>0</v>
      </c>
      <c r="I379" s="25">
        <f t="shared" si="355"/>
        <v>0</v>
      </c>
      <c r="J379" s="25">
        <f t="shared" si="356"/>
        <v>0</v>
      </c>
      <c r="K379" s="26" t="s">
        <v>53</v>
      </c>
      <c r="Z379" s="25">
        <f t="shared" si="357"/>
        <v>0</v>
      </c>
      <c r="AB379" s="25">
        <f t="shared" si="358"/>
        <v>0</v>
      </c>
      <c r="AC379" s="25">
        <f t="shared" si="359"/>
        <v>0</v>
      </c>
      <c r="AD379" s="25">
        <f t="shared" si="360"/>
        <v>0</v>
      </c>
      <c r="AE379" s="25">
        <f t="shared" si="361"/>
        <v>0</v>
      </c>
      <c r="AF379" s="25">
        <f t="shared" si="362"/>
        <v>0</v>
      </c>
      <c r="AG379" s="25">
        <f t="shared" si="363"/>
        <v>0</v>
      </c>
      <c r="AH379" s="25">
        <f t="shared" si="364"/>
        <v>0</v>
      </c>
      <c r="AI379" s="11" t="s">
        <v>46</v>
      </c>
      <c r="AJ379" s="25">
        <f t="shared" si="365"/>
        <v>0</v>
      </c>
      <c r="AK379" s="25">
        <f t="shared" si="366"/>
        <v>0</v>
      </c>
      <c r="AL379" s="25">
        <f t="shared" si="367"/>
        <v>0</v>
      </c>
      <c r="AN379" s="25">
        <v>21</v>
      </c>
      <c r="AO379" s="25">
        <f>G379*0.529999817</f>
        <v>0</v>
      </c>
      <c r="AP379" s="25">
        <f>G379*(1-0.529999817)</f>
        <v>0</v>
      </c>
      <c r="AQ379" s="27" t="s">
        <v>76</v>
      </c>
      <c r="AV379" s="25">
        <f t="shared" si="368"/>
        <v>0</v>
      </c>
      <c r="AW379" s="25">
        <f t="shared" si="369"/>
        <v>0</v>
      </c>
      <c r="AX379" s="25">
        <f t="shared" si="370"/>
        <v>0</v>
      </c>
      <c r="AY379" s="27" t="s">
        <v>1027</v>
      </c>
      <c r="AZ379" s="27" t="s">
        <v>585</v>
      </c>
      <c r="BA379" s="11" t="s">
        <v>56</v>
      </c>
      <c r="BC379" s="25">
        <f t="shared" si="371"/>
        <v>0</v>
      </c>
      <c r="BD379" s="25">
        <f t="shared" si="372"/>
        <v>0</v>
      </c>
      <c r="BE379" s="25">
        <v>0</v>
      </c>
      <c r="BF379" s="25">
        <f>379</f>
        <v>379</v>
      </c>
      <c r="BH379" s="25">
        <f t="shared" si="373"/>
        <v>0</v>
      </c>
      <c r="BI379" s="25">
        <f t="shared" si="374"/>
        <v>0</v>
      </c>
      <c r="BJ379" s="25">
        <f t="shared" si="375"/>
        <v>0</v>
      </c>
      <c r="BK379" s="27" t="s">
        <v>57</v>
      </c>
      <c r="BL379" s="25">
        <v>728</v>
      </c>
      <c r="BW379" s="25">
        <v>21</v>
      </c>
      <c r="BX379" s="5" t="s">
        <v>1151</v>
      </c>
    </row>
    <row r="380" spans="1:76" x14ac:dyDescent="0.25">
      <c r="A380" s="2" t="s">
        <v>1152</v>
      </c>
      <c r="B380" s="3" t="s">
        <v>1153</v>
      </c>
      <c r="C380" s="93" t="s">
        <v>1154</v>
      </c>
      <c r="D380" s="94"/>
      <c r="E380" s="3" t="s">
        <v>52</v>
      </c>
      <c r="F380" s="25">
        <v>2</v>
      </c>
      <c r="G380" s="25">
        <v>0</v>
      </c>
      <c r="H380" s="25">
        <f t="shared" si="354"/>
        <v>0</v>
      </c>
      <c r="I380" s="25">
        <f t="shared" si="355"/>
        <v>0</v>
      </c>
      <c r="J380" s="25">
        <f t="shared" si="356"/>
        <v>0</v>
      </c>
      <c r="K380" s="26" t="s">
        <v>53</v>
      </c>
      <c r="Z380" s="25">
        <f t="shared" si="357"/>
        <v>0</v>
      </c>
      <c r="AB380" s="25">
        <f t="shared" si="358"/>
        <v>0</v>
      </c>
      <c r="AC380" s="25">
        <f t="shared" si="359"/>
        <v>0</v>
      </c>
      <c r="AD380" s="25">
        <f t="shared" si="360"/>
        <v>0</v>
      </c>
      <c r="AE380" s="25">
        <f t="shared" si="361"/>
        <v>0</v>
      </c>
      <c r="AF380" s="25">
        <f t="shared" si="362"/>
        <v>0</v>
      </c>
      <c r="AG380" s="25">
        <f t="shared" si="363"/>
        <v>0</v>
      </c>
      <c r="AH380" s="25">
        <f t="shared" si="364"/>
        <v>0</v>
      </c>
      <c r="AI380" s="11" t="s">
        <v>46</v>
      </c>
      <c r="AJ380" s="25">
        <f t="shared" si="365"/>
        <v>0</v>
      </c>
      <c r="AK380" s="25">
        <f t="shared" si="366"/>
        <v>0</v>
      </c>
      <c r="AL380" s="25">
        <f t="shared" si="367"/>
        <v>0</v>
      </c>
      <c r="AN380" s="25">
        <v>21</v>
      </c>
      <c r="AO380" s="25">
        <f>G380*0.530000693</f>
        <v>0</v>
      </c>
      <c r="AP380" s="25">
        <f>G380*(1-0.530000693)</f>
        <v>0</v>
      </c>
      <c r="AQ380" s="27" t="s">
        <v>76</v>
      </c>
      <c r="AV380" s="25">
        <f t="shared" si="368"/>
        <v>0</v>
      </c>
      <c r="AW380" s="25">
        <f t="shared" si="369"/>
        <v>0</v>
      </c>
      <c r="AX380" s="25">
        <f t="shared" si="370"/>
        <v>0</v>
      </c>
      <c r="AY380" s="27" t="s">
        <v>1027</v>
      </c>
      <c r="AZ380" s="27" t="s">
        <v>585</v>
      </c>
      <c r="BA380" s="11" t="s">
        <v>56</v>
      </c>
      <c r="BC380" s="25">
        <f t="shared" si="371"/>
        <v>0</v>
      </c>
      <c r="BD380" s="25">
        <f t="shared" si="372"/>
        <v>0</v>
      </c>
      <c r="BE380" s="25">
        <v>0</v>
      </c>
      <c r="BF380" s="25">
        <f>380</f>
        <v>380</v>
      </c>
      <c r="BH380" s="25">
        <f t="shared" si="373"/>
        <v>0</v>
      </c>
      <c r="BI380" s="25">
        <f t="shared" si="374"/>
        <v>0</v>
      </c>
      <c r="BJ380" s="25">
        <f t="shared" si="375"/>
        <v>0</v>
      </c>
      <c r="BK380" s="27" t="s">
        <v>57</v>
      </c>
      <c r="BL380" s="25">
        <v>728</v>
      </c>
      <c r="BW380" s="25">
        <v>21</v>
      </c>
      <c r="BX380" s="5" t="s">
        <v>1154</v>
      </c>
    </row>
    <row r="381" spans="1:76" x14ac:dyDescent="0.25">
      <c r="A381" s="2" t="s">
        <v>1155</v>
      </c>
      <c r="B381" s="3" t="s">
        <v>1156</v>
      </c>
      <c r="C381" s="93" t="s">
        <v>1157</v>
      </c>
      <c r="D381" s="94"/>
      <c r="E381" s="3" t="s">
        <v>93</v>
      </c>
      <c r="F381" s="25">
        <v>5.47</v>
      </c>
      <c r="G381" s="25">
        <v>0</v>
      </c>
      <c r="H381" s="25">
        <f t="shared" si="354"/>
        <v>0</v>
      </c>
      <c r="I381" s="25">
        <f t="shared" si="355"/>
        <v>0</v>
      </c>
      <c r="J381" s="25">
        <f t="shared" si="356"/>
        <v>0</v>
      </c>
      <c r="K381" s="26" t="s">
        <v>53</v>
      </c>
      <c r="Z381" s="25">
        <f t="shared" si="357"/>
        <v>0</v>
      </c>
      <c r="AB381" s="25">
        <f t="shared" si="358"/>
        <v>0</v>
      </c>
      <c r="AC381" s="25">
        <f t="shared" si="359"/>
        <v>0</v>
      </c>
      <c r="AD381" s="25">
        <f t="shared" si="360"/>
        <v>0</v>
      </c>
      <c r="AE381" s="25">
        <f t="shared" si="361"/>
        <v>0</v>
      </c>
      <c r="AF381" s="25">
        <f t="shared" si="362"/>
        <v>0</v>
      </c>
      <c r="AG381" s="25">
        <f t="shared" si="363"/>
        <v>0</v>
      </c>
      <c r="AH381" s="25">
        <f t="shared" si="364"/>
        <v>0</v>
      </c>
      <c r="AI381" s="11" t="s">
        <v>46</v>
      </c>
      <c r="AJ381" s="25">
        <f t="shared" si="365"/>
        <v>0</v>
      </c>
      <c r="AK381" s="25">
        <f t="shared" si="366"/>
        <v>0</v>
      </c>
      <c r="AL381" s="25">
        <f t="shared" si="367"/>
        <v>0</v>
      </c>
      <c r="AN381" s="25">
        <v>21</v>
      </c>
      <c r="AO381" s="25">
        <f>G381*0.529998265</f>
        <v>0</v>
      </c>
      <c r="AP381" s="25">
        <f>G381*(1-0.529998265)</f>
        <v>0</v>
      </c>
      <c r="AQ381" s="27" t="s">
        <v>76</v>
      </c>
      <c r="AV381" s="25">
        <f t="shared" si="368"/>
        <v>0</v>
      </c>
      <c r="AW381" s="25">
        <f t="shared" si="369"/>
        <v>0</v>
      </c>
      <c r="AX381" s="25">
        <f t="shared" si="370"/>
        <v>0</v>
      </c>
      <c r="AY381" s="27" t="s">
        <v>1027</v>
      </c>
      <c r="AZ381" s="27" t="s">
        <v>585</v>
      </c>
      <c r="BA381" s="11" t="s">
        <v>56</v>
      </c>
      <c r="BC381" s="25">
        <f t="shared" si="371"/>
        <v>0</v>
      </c>
      <c r="BD381" s="25">
        <f t="shared" si="372"/>
        <v>0</v>
      </c>
      <c r="BE381" s="25">
        <v>0</v>
      </c>
      <c r="BF381" s="25">
        <f>381</f>
        <v>381</v>
      </c>
      <c r="BH381" s="25">
        <f t="shared" si="373"/>
        <v>0</v>
      </c>
      <c r="BI381" s="25">
        <f t="shared" si="374"/>
        <v>0</v>
      </c>
      <c r="BJ381" s="25">
        <f t="shared" si="375"/>
        <v>0</v>
      </c>
      <c r="BK381" s="27" t="s">
        <v>57</v>
      </c>
      <c r="BL381" s="25">
        <v>728</v>
      </c>
      <c r="BW381" s="25">
        <v>21</v>
      </c>
      <c r="BX381" s="5" t="s">
        <v>1157</v>
      </c>
    </row>
    <row r="382" spans="1:76" x14ac:dyDescent="0.25">
      <c r="A382" s="2" t="s">
        <v>1158</v>
      </c>
      <c r="B382" s="3" t="s">
        <v>1159</v>
      </c>
      <c r="C382" s="93" t="s">
        <v>1160</v>
      </c>
      <c r="D382" s="94"/>
      <c r="E382" s="3" t="s">
        <v>93</v>
      </c>
      <c r="F382" s="25">
        <v>7.49</v>
      </c>
      <c r="G382" s="25">
        <v>0</v>
      </c>
      <c r="H382" s="25">
        <f t="shared" si="354"/>
        <v>0</v>
      </c>
      <c r="I382" s="25">
        <f t="shared" si="355"/>
        <v>0</v>
      </c>
      <c r="J382" s="25">
        <f t="shared" si="356"/>
        <v>0</v>
      </c>
      <c r="K382" s="26" t="s">
        <v>53</v>
      </c>
      <c r="Z382" s="25">
        <f t="shared" si="357"/>
        <v>0</v>
      </c>
      <c r="AB382" s="25">
        <f t="shared" si="358"/>
        <v>0</v>
      </c>
      <c r="AC382" s="25">
        <f t="shared" si="359"/>
        <v>0</v>
      </c>
      <c r="AD382" s="25">
        <f t="shared" si="360"/>
        <v>0</v>
      </c>
      <c r="AE382" s="25">
        <f t="shared" si="361"/>
        <v>0</v>
      </c>
      <c r="AF382" s="25">
        <f t="shared" si="362"/>
        <v>0</v>
      </c>
      <c r="AG382" s="25">
        <f t="shared" si="363"/>
        <v>0</v>
      </c>
      <c r="AH382" s="25">
        <f t="shared" si="364"/>
        <v>0</v>
      </c>
      <c r="AI382" s="11" t="s">
        <v>46</v>
      </c>
      <c r="AJ382" s="25">
        <f t="shared" si="365"/>
        <v>0</v>
      </c>
      <c r="AK382" s="25">
        <f t="shared" si="366"/>
        <v>0</v>
      </c>
      <c r="AL382" s="25">
        <f t="shared" si="367"/>
        <v>0</v>
      </c>
      <c r="AN382" s="25">
        <v>21</v>
      </c>
      <c r="AO382" s="25">
        <f>G382*0.53000138</f>
        <v>0</v>
      </c>
      <c r="AP382" s="25">
        <f>G382*(1-0.53000138)</f>
        <v>0</v>
      </c>
      <c r="AQ382" s="27" t="s">
        <v>76</v>
      </c>
      <c r="AV382" s="25">
        <f t="shared" si="368"/>
        <v>0</v>
      </c>
      <c r="AW382" s="25">
        <f t="shared" si="369"/>
        <v>0</v>
      </c>
      <c r="AX382" s="25">
        <f t="shared" si="370"/>
        <v>0</v>
      </c>
      <c r="AY382" s="27" t="s">
        <v>1027</v>
      </c>
      <c r="AZ382" s="27" t="s">
        <v>585</v>
      </c>
      <c r="BA382" s="11" t="s">
        <v>56</v>
      </c>
      <c r="BC382" s="25">
        <f t="shared" si="371"/>
        <v>0</v>
      </c>
      <c r="BD382" s="25">
        <f t="shared" si="372"/>
        <v>0</v>
      </c>
      <c r="BE382" s="25">
        <v>0</v>
      </c>
      <c r="BF382" s="25">
        <f>382</f>
        <v>382</v>
      </c>
      <c r="BH382" s="25">
        <f t="shared" si="373"/>
        <v>0</v>
      </c>
      <c r="BI382" s="25">
        <f t="shared" si="374"/>
        <v>0</v>
      </c>
      <c r="BJ382" s="25">
        <f t="shared" si="375"/>
        <v>0</v>
      </c>
      <c r="BK382" s="27" t="s">
        <v>57</v>
      </c>
      <c r="BL382" s="25">
        <v>728</v>
      </c>
      <c r="BW382" s="25">
        <v>21</v>
      </c>
      <c r="BX382" s="5" t="s">
        <v>1160</v>
      </c>
    </row>
    <row r="383" spans="1:76" x14ac:dyDescent="0.25">
      <c r="A383" s="2" t="s">
        <v>1161</v>
      </c>
      <c r="B383" s="3" t="s">
        <v>1162</v>
      </c>
      <c r="C383" s="93" t="s">
        <v>1163</v>
      </c>
      <c r="D383" s="94"/>
      <c r="E383" s="3" t="s">
        <v>52</v>
      </c>
      <c r="F383" s="25">
        <v>1</v>
      </c>
      <c r="G383" s="25">
        <v>0</v>
      </c>
      <c r="H383" s="25">
        <f t="shared" si="354"/>
        <v>0</v>
      </c>
      <c r="I383" s="25">
        <f t="shared" si="355"/>
        <v>0</v>
      </c>
      <c r="J383" s="25">
        <f t="shared" si="356"/>
        <v>0</v>
      </c>
      <c r="K383" s="26" t="s">
        <v>53</v>
      </c>
      <c r="Z383" s="25">
        <f t="shared" si="357"/>
        <v>0</v>
      </c>
      <c r="AB383" s="25">
        <f t="shared" si="358"/>
        <v>0</v>
      </c>
      <c r="AC383" s="25">
        <f t="shared" si="359"/>
        <v>0</v>
      </c>
      <c r="AD383" s="25">
        <f t="shared" si="360"/>
        <v>0</v>
      </c>
      <c r="AE383" s="25">
        <f t="shared" si="361"/>
        <v>0</v>
      </c>
      <c r="AF383" s="25">
        <f t="shared" si="362"/>
        <v>0</v>
      </c>
      <c r="AG383" s="25">
        <f t="shared" si="363"/>
        <v>0</v>
      </c>
      <c r="AH383" s="25">
        <f t="shared" si="364"/>
        <v>0</v>
      </c>
      <c r="AI383" s="11" t="s">
        <v>46</v>
      </c>
      <c r="AJ383" s="25">
        <f t="shared" si="365"/>
        <v>0</v>
      </c>
      <c r="AK383" s="25">
        <f t="shared" si="366"/>
        <v>0</v>
      </c>
      <c r="AL383" s="25">
        <f t="shared" si="367"/>
        <v>0</v>
      </c>
      <c r="AN383" s="25">
        <v>21</v>
      </c>
      <c r="AO383" s="25">
        <f>G383*0.53</f>
        <v>0</v>
      </c>
      <c r="AP383" s="25">
        <f>G383*(1-0.53)</f>
        <v>0</v>
      </c>
      <c r="AQ383" s="27" t="s">
        <v>76</v>
      </c>
      <c r="AV383" s="25">
        <f t="shared" si="368"/>
        <v>0</v>
      </c>
      <c r="AW383" s="25">
        <f t="shared" si="369"/>
        <v>0</v>
      </c>
      <c r="AX383" s="25">
        <f t="shared" si="370"/>
        <v>0</v>
      </c>
      <c r="AY383" s="27" t="s">
        <v>1027</v>
      </c>
      <c r="AZ383" s="27" t="s">
        <v>585</v>
      </c>
      <c r="BA383" s="11" t="s">
        <v>56</v>
      </c>
      <c r="BC383" s="25">
        <f t="shared" si="371"/>
        <v>0</v>
      </c>
      <c r="BD383" s="25">
        <f t="shared" si="372"/>
        <v>0</v>
      </c>
      <c r="BE383" s="25">
        <v>0</v>
      </c>
      <c r="BF383" s="25">
        <f>383</f>
        <v>383</v>
      </c>
      <c r="BH383" s="25">
        <f t="shared" si="373"/>
        <v>0</v>
      </c>
      <c r="BI383" s="25">
        <f t="shared" si="374"/>
        <v>0</v>
      </c>
      <c r="BJ383" s="25">
        <f t="shared" si="375"/>
        <v>0</v>
      </c>
      <c r="BK383" s="27" t="s">
        <v>57</v>
      </c>
      <c r="BL383" s="25">
        <v>728</v>
      </c>
      <c r="BW383" s="25">
        <v>21</v>
      </c>
      <c r="BX383" s="5" t="s">
        <v>1163</v>
      </c>
    </row>
    <row r="384" spans="1:76" x14ac:dyDescent="0.25">
      <c r="A384" s="2" t="s">
        <v>1164</v>
      </c>
      <c r="B384" s="3" t="s">
        <v>1165</v>
      </c>
      <c r="C384" s="93" t="s">
        <v>1166</v>
      </c>
      <c r="D384" s="94"/>
      <c r="E384" s="3" t="s">
        <v>52</v>
      </c>
      <c r="F384" s="25">
        <v>3</v>
      </c>
      <c r="G384" s="25">
        <v>0</v>
      </c>
      <c r="H384" s="25">
        <f t="shared" si="354"/>
        <v>0</v>
      </c>
      <c r="I384" s="25">
        <f t="shared" si="355"/>
        <v>0</v>
      </c>
      <c r="J384" s="25">
        <f t="shared" si="356"/>
        <v>0</v>
      </c>
      <c r="K384" s="26" t="s">
        <v>53</v>
      </c>
      <c r="Z384" s="25">
        <f t="shared" si="357"/>
        <v>0</v>
      </c>
      <c r="AB384" s="25">
        <f t="shared" si="358"/>
        <v>0</v>
      </c>
      <c r="AC384" s="25">
        <f t="shared" si="359"/>
        <v>0</v>
      </c>
      <c r="AD384" s="25">
        <f t="shared" si="360"/>
        <v>0</v>
      </c>
      <c r="AE384" s="25">
        <f t="shared" si="361"/>
        <v>0</v>
      </c>
      <c r="AF384" s="25">
        <f t="shared" si="362"/>
        <v>0</v>
      </c>
      <c r="AG384" s="25">
        <f t="shared" si="363"/>
        <v>0</v>
      </c>
      <c r="AH384" s="25">
        <f t="shared" si="364"/>
        <v>0</v>
      </c>
      <c r="AI384" s="11" t="s">
        <v>46</v>
      </c>
      <c r="AJ384" s="25">
        <f t="shared" si="365"/>
        <v>0</v>
      </c>
      <c r="AK384" s="25">
        <f t="shared" si="366"/>
        <v>0</v>
      </c>
      <c r="AL384" s="25">
        <f t="shared" si="367"/>
        <v>0</v>
      </c>
      <c r="AN384" s="25">
        <v>21</v>
      </c>
      <c r="AO384" s="25">
        <f>G384*0.53</f>
        <v>0</v>
      </c>
      <c r="AP384" s="25">
        <f>G384*(1-0.53)</f>
        <v>0</v>
      </c>
      <c r="AQ384" s="27" t="s">
        <v>76</v>
      </c>
      <c r="AV384" s="25">
        <f t="shared" si="368"/>
        <v>0</v>
      </c>
      <c r="AW384" s="25">
        <f t="shared" si="369"/>
        <v>0</v>
      </c>
      <c r="AX384" s="25">
        <f t="shared" si="370"/>
        <v>0</v>
      </c>
      <c r="AY384" s="27" t="s">
        <v>1027</v>
      </c>
      <c r="AZ384" s="27" t="s">
        <v>585</v>
      </c>
      <c r="BA384" s="11" t="s">
        <v>56</v>
      </c>
      <c r="BC384" s="25">
        <f t="shared" si="371"/>
        <v>0</v>
      </c>
      <c r="BD384" s="25">
        <f t="shared" si="372"/>
        <v>0</v>
      </c>
      <c r="BE384" s="25">
        <v>0</v>
      </c>
      <c r="BF384" s="25">
        <f>384</f>
        <v>384</v>
      </c>
      <c r="BH384" s="25">
        <f t="shared" si="373"/>
        <v>0</v>
      </c>
      <c r="BI384" s="25">
        <f t="shared" si="374"/>
        <v>0</v>
      </c>
      <c r="BJ384" s="25">
        <f t="shared" si="375"/>
        <v>0</v>
      </c>
      <c r="BK384" s="27" t="s">
        <v>57</v>
      </c>
      <c r="BL384" s="25">
        <v>728</v>
      </c>
      <c r="BW384" s="25">
        <v>21</v>
      </c>
      <c r="BX384" s="5" t="s">
        <v>1166</v>
      </c>
    </row>
    <row r="385" spans="1:76" x14ac:dyDescent="0.25">
      <c r="A385" s="2" t="s">
        <v>1167</v>
      </c>
      <c r="B385" s="3" t="s">
        <v>1168</v>
      </c>
      <c r="C385" s="93" t="s">
        <v>1169</v>
      </c>
      <c r="D385" s="94"/>
      <c r="E385" s="3" t="s">
        <v>131</v>
      </c>
      <c r="F385" s="25">
        <v>3.4</v>
      </c>
      <c r="G385" s="25">
        <v>0</v>
      </c>
      <c r="H385" s="25">
        <f t="shared" si="354"/>
        <v>0</v>
      </c>
      <c r="I385" s="25">
        <f t="shared" si="355"/>
        <v>0</v>
      </c>
      <c r="J385" s="25">
        <f t="shared" si="356"/>
        <v>0</v>
      </c>
      <c r="K385" s="26" t="s">
        <v>53</v>
      </c>
      <c r="Z385" s="25">
        <f t="shared" si="357"/>
        <v>0</v>
      </c>
      <c r="AB385" s="25">
        <f t="shared" si="358"/>
        <v>0</v>
      </c>
      <c r="AC385" s="25">
        <f t="shared" si="359"/>
        <v>0</v>
      </c>
      <c r="AD385" s="25">
        <f t="shared" si="360"/>
        <v>0</v>
      </c>
      <c r="AE385" s="25">
        <f t="shared" si="361"/>
        <v>0</v>
      </c>
      <c r="AF385" s="25">
        <f t="shared" si="362"/>
        <v>0</v>
      </c>
      <c r="AG385" s="25">
        <f t="shared" si="363"/>
        <v>0</v>
      </c>
      <c r="AH385" s="25">
        <f t="shared" si="364"/>
        <v>0</v>
      </c>
      <c r="AI385" s="11" t="s">
        <v>46</v>
      </c>
      <c r="AJ385" s="25">
        <f t="shared" si="365"/>
        <v>0</v>
      </c>
      <c r="AK385" s="25">
        <f t="shared" si="366"/>
        <v>0</v>
      </c>
      <c r="AL385" s="25">
        <f t="shared" si="367"/>
        <v>0</v>
      </c>
      <c r="AN385" s="25">
        <v>21</v>
      </c>
      <c r="AO385" s="25">
        <f>G385*0.530009195</f>
        <v>0</v>
      </c>
      <c r="AP385" s="25">
        <f>G385*(1-0.530009195)</f>
        <v>0</v>
      </c>
      <c r="AQ385" s="27" t="s">
        <v>76</v>
      </c>
      <c r="AV385" s="25">
        <f t="shared" si="368"/>
        <v>0</v>
      </c>
      <c r="AW385" s="25">
        <f t="shared" si="369"/>
        <v>0</v>
      </c>
      <c r="AX385" s="25">
        <f t="shared" si="370"/>
        <v>0</v>
      </c>
      <c r="AY385" s="27" t="s">
        <v>1027</v>
      </c>
      <c r="AZ385" s="27" t="s">
        <v>585</v>
      </c>
      <c r="BA385" s="11" t="s">
        <v>56</v>
      </c>
      <c r="BC385" s="25">
        <f t="shared" si="371"/>
        <v>0</v>
      </c>
      <c r="BD385" s="25">
        <f t="shared" si="372"/>
        <v>0</v>
      </c>
      <c r="BE385" s="25">
        <v>0</v>
      </c>
      <c r="BF385" s="25">
        <f>385</f>
        <v>385</v>
      </c>
      <c r="BH385" s="25">
        <f t="shared" si="373"/>
        <v>0</v>
      </c>
      <c r="BI385" s="25">
        <f t="shared" si="374"/>
        <v>0</v>
      </c>
      <c r="BJ385" s="25">
        <f t="shared" si="375"/>
        <v>0</v>
      </c>
      <c r="BK385" s="27" t="s">
        <v>57</v>
      </c>
      <c r="BL385" s="25">
        <v>728</v>
      </c>
      <c r="BW385" s="25">
        <v>21</v>
      </c>
      <c r="BX385" s="5" t="s">
        <v>1169</v>
      </c>
    </row>
    <row r="386" spans="1:76" x14ac:dyDescent="0.25">
      <c r="A386" s="2" t="s">
        <v>1170</v>
      </c>
      <c r="B386" s="3" t="s">
        <v>1171</v>
      </c>
      <c r="C386" s="93" t="s">
        <v>1172</v>
      </c>
      <c r="D386" s="94"/>
      <c r="E386" s="3" t="s">
        <v>52</v>
      </c>
      <c r="F386" s="25">
        <v>5</v>
      </c>
      <c r="G386" s="25">
        <v>0</v>
      </c>
      <c r="H386" s="25">
        <f t="shared" si="354"/>
        <v>0</v>
      </c>
      <c r="I386" s="25">
        <f t="shared" si="355"/>
        <v>0</v>
      </c>
      <c r="J386" s="25">
        <f t="shared" si="356"/>
        <v>0</v>
      </c>
      <c r="K386" s="26" t="s">
        <v>53</v>
      </c>
      <c r="Z386" s="25">
        <f t="shared" si="357"/>
        <v>0</v>
      </c>
      <c r="AB386" s="25">
        <f t="shared" si="358"/>
        <v>0</v>
      </c>
      <c r="AC386" s="25">
        <f t="shared" si="359"/>
        <v>0</v>
      </c>
      <c r="AD386" s="25">
        <f t="shared" si="360"/>
        <v>0</v>
      </c>
      <c r="AE386" s="25">
        <f t="shared" si="361"/>
        <v>0</v>
      </c>
      <c r="AF386" s="25">
        <f t="shared" si="362"/>
        <v>0</v>
      </c>
      <c r="AG386" s="25">
        <f t="shared" si="363"/>
        <v>0</v>
      </c>
      <c r="AH386" s="25">
        <f t="shared" si="364"/>
        <v>0</v>
      </c>
      <c r="AI386" s="11" t="s">
        <v>46</v>
      </c>
      <c r="AJ386" s="25">
        <f t="shared" si="365"/>
        <v>0</v>
      </c>
      <c r="AK386" s="25">
        <f t="shared" si="366"/>
        <v>0</v>
      </c>
      <c r="AL386" s="25">
        <f t="shared" si="367"/>
        <v>0</v>
      </c>
      <c r="AN386" s="25">
        <v>21</v>
      </c>
      <c r="AO386" s="25">
        <f>G386*0.529999799</f>
        <v>0</v>
      </c>
      <c r="AP386" s="25">
        <f>G386*(1-0.529999799)</f>
        <v>0</v>
      </c>
      <c r="AQ386" s="27" t="s">
        <v>76</v>
      </c>
      <c r="AV386" s="25">
        <f t="shared" si="368"/>
        <v>0</v>
      </c>
      <c r="AW386" s="25">
        <f t="shared" si="369"/>
        <v>0</v>
      </c>
      <c r="AX386" s="25">
        <f t="shared" si="370"/>
        <v>0</v>
      </c>
      <c r="AY386" s="27" t="s">
        <v>1027</v>
      </c>
      <c r="AZ386" s="27" t="s">
        <v>585</v>
      </c>
      <c r="BA386" s="11" t="s">
        <v>56</v>
      </c>
      <c r="BC386" s="25">
        <f t="shared" si="371"/>
        <v>0</v>
      </c>
      <c r="BD386" s="25">
        <f t="shared" si="372"/>
        <v>0</v>
      </c>
      <c r="BE386" s="25">
        <v>0</v>
      </c>
      <c r="BF386" s="25">
        <f>386</f>
        <v>386</v>
      </c>
      <c r="BH386" s="25">
        <f t="shared" si="373"/>
        <v>0</v>
      </c>
      <c r="BI386" s="25">
        <f t="shared" si="374"/>
        <v>0</v>
      </c>
      <c r="BJ386" s="25">
        <f t="shared" si="375"/>
        <v>0</v>
      </c>
      <c r="BK386" s="27" t="s">
        <v>57</v>
      </c>
      <c r="BL386" s="25">
        <v>728</v>
      </c>
      <c r="BW386" s="25">
        <v>21</v>
      </c>
      <c r="BX386" s="5" t="s">
        <v>1172</v>
      </c>
    </row>
    <row r="387" spans="1:76" x14ac:dyDescent="0.25">
      <c r="A387" s="2" t="s">
        <v>1173</v>
      </c>
      <c r="B387" s="3" t="s">
        <v>1174</v>
      </c>
      <c r="C387" s="93" t="s">
        <v>1175</v>
      </c>
      <c r="D387" s="94"/>
      <c r="E387" s="3" t="s">
        <v>52</v>
      </c>
      <c r="F387" s="25">
        <v>7</v>
      </c>
      <c r="G387" s="25">
        <v>0</v>
      </c>
      <c r="H387" s="25">
        <f t="shared" si="354"/>
        <v>0</v>
      </c>
      <c r="I387" s="25">
        <f t="shared" si="355"/>
        <v>0</v>
      </c>
      <c r="J387" s="25">
        <f t="shared" si="356"/>
        <v>0</v>
      </c>
      <c r="K387" s="26" t="s">
        <v>53</v>
      </c>
      <c r="Z387" s="25">
        <f t="shared" si="357"/>
        <v>0</v>
      </c>
      <c r="AB387" s="25">
        <f t="shared" si="358"/>
        <v>0</v>
      </c>
      <c r="AC387" s="25">
        <f t="shared" si="359"/>
        <v>0</v>
      </c>
      <c r="AD387" s="25">
        <f t="shared" si="360"/>
        <v>0</v>
      </c>
      <c r="AE387" s="25">
        <f t="shared" si="361"/>
        <v>0</v>
      </c>
      <c r="AF387" s="25">
        <f t="shared" si="362"/>
        <v>0</v>
      </c>
      <c r="AG387" s="25">
        <f t="shared" si="363"/>
        <v>0</v>
      </c>
      <c r="AH387" s="25">
        <f t="shared" si="364"/>
        <v>0</v>
      </c>
      <c r="AI387" s="11" t="s">
        <v>46</v>
      </c>
      <c r="AJ387" s="25">
        <f t="shared" si="365"/>
        <v>0</v>
      </c>
      <c r="AK387" s="25">
        <f t="shared" si="366"/>
        <v>0</v>
      </c>
      <c r="AL387" s="25">
        <f t="shared" si="367"/>
        <v>0</v>
      </c>
      <c r="AN387" s="25">
        <v>21</v>
      </c>
      <c r="AO387" s="25">
        <f>G387*0.530001167</f>
        <v>0</v>
      </c>
      <c r="AP387" s="25">
        <f>G387*(1-0.530001167)</f>
        <v>0</v>
      </c>
      <c r="AQ387" s="27" t="s">
        <v>76</v>
      </c>
      <c r="AV387" s="25">
        <f t="shared" si="368"/>
        <v>0</v>
      </c>
      <c r="AW387" s="25">
        <f t="shared" si="369"/>
        <v>0</v>
      </c>
      <c r="AX387" s="25">
        <f t="shared" si="370"/>
        <v>0</v>
      </c>
      <c r="AY387" s="27" t="s">
        <v>1027</v>
      </c>
      <c r="AZ387" s="27" t="s">
        <v>585</v>
      </c>
      <c r="BA387" s="11" t="s">
        <v>56</v>
      </c>
      <c r="BC387" s="25">
        <f t="shared" si="371"/>
        <v>0</v>
      </c>
      <c r="BD387" s="25">
        <f t="shared" si="372"/>
        <v>0</v>
      </c>
      <c r="BE387" s="25">
        <v>0</v>
      </c>
      <c r="BF387" s="25">
        <f>387</f>
        <v>387</v>
      </c>
      <c r="BH387" s="25">
        <f t="shared" si="373"/>
        <v>0</v>
      </c>
      <c r="BI387" s="25">
        <f t="shared" si="374"/>
        <v>0</v>
      </c>
      <c r="BJ387" s="25">
        <f t="shared" si="375"/>
        <v>0</v>
      </c>
      <c r="BK387" s="27" t="s">
        <v>57</v>
      </c>
      <c r="BL387" s="25">
        <v>728</v>
      </c>
      <c r="BW387" s="25">
        <v>21</v>
      </c>
      <c r="BX387" s="5" t="s">
        <v>1175</v>
      </c>
    </row>
    <row r="388" spans="1:76" x14ac:dyDescent="0.25">
      <c r="A388" s="2" t="s">
        <v>1176</v>
      </c>
      <c r="B388" s="3" t="s">
        <v>1177</v>
      </c>
      <c r="C388" s="93" t="s">
        <v>1178</v>
      </c>
      <c r="D388" s="94"/>
      <c r="E388" s="3" t="s">
        <v>52</v>
      </c>
      <c r="F388" s="25">
        <v>4</v>
      </c>
      <c r="G388" s="25">
        <v>0</v>
      </c>
      <c r="H388" s="25">
        <f t="shared" si="354"/>
        <v>0</v>
      </c>
      <c r="I388" s="25">
        <f t="shared" si="355"/>
        <v>0</v>
      </c>
      <c r="J388" s="25">
        <f t="shared" si="356"/>
        <v>0</v>
      </c>
      <c r="K388" s="26" t="s">
        <v>53</v>
      </c>
      <c r="Z388" s="25">
        <f t="shared" si="357"/>
        <v>0</v>
      </c>
      <c r="AB388" s="25">
        <f t="shared" si="358"/>
        <v>0</v>
      </c>
      <c r="AC388" s="25">
        <f t="shared" si="359"/>
        <v>0</v>
      </c>
      <c r="AD388" s="25">
        <f t="shared" si="360"/>
        <v>0</v>
      </c>
      <c r="AE388" s="25">
        <f t="shared" si="361"/>
        <v>0</v>
      </c>
      <c r="AF388" s="25">
        <f t="shared" si="362"/>
        <v>0</v>
      </c>
      <c r="AG388" s="25">
        <f t="shared" si="363"/>
        <v>0</v>
      </c>
      <c r="AH388" s="25">
        <f t="shared" si="364"/>
        <v>0</v>
      </c>
      <c r="AI388" s="11" t="s">
        <v>46</v>
      </c>
      <c r="AJ388" s="25">
        <f t="shared" si="365"/>
        <v>0</v>
      </c>
      <c r="AK388" s="25">
        <f t="shared" si="366"/>
        <v>0</v>
      </c>
      <c r="AL388" s="25">
        <f t="shared" si="367"/>
        <v>0</v>
      </c>
      <c r="AN388" s="25">
        <v>21</v>
      </c>
      <c r="AO388" s="25">
        <f>G388*0.530005106</f>
        <v>0</v>
      </c>
      <c r="AP388" s="25">
        <f>G388*(1-0.530005106)</f>
        <v>0</v>
      </c>
      <c r="AQ388" s="27" t="s">
        <v>76</v>
      </c>
      <c r="AV388" s="25">
        <f t="shared" si="368"/>
        <v>0</v>
      </c>
      <c r="AW388" s="25">
        <f t="shared" si="369"/>
        <v>0</v>
      </c>
      <c r="AX388" s="25">
        <f t="shared" si="370"/>
        <v>0</v>
      </c>
      <c r="AY388" s="27" t="s">
        <v>1027</v>
      </c>
      <c r="AZ388" s="27" t="s">
        <v>585</v>
      </c>
      <c r="BA388" s="11" t="s">
        <v>56</v>
      </c>
      <c r="BC388" s="25">
        <f t="shared" si="371"/>
        <v>0</v>
      </c>
      <c r="BD388" s="25">
        <f t="shared" si="372"/>
        <v>0</v>
      </c>
      <c r="BE388" s="25">
        <v>0</v>
      </c>
      <c r="BF388" s="25">
        <f>388</f>
        <v>388</v>
      </c>
      <c r="BH388" s="25">
        <f t="shared" si="373"/>
        <v>0</v>
      </c>
      <c r="BI388" s="25">
        <f t="shared" si="374"/>
        <v>0</v>
      </c>
      <c r="BJ388" s="25">
        <f t="shared" si="375"/>
        <v>0</v>
      </c>
      <c r="BK388" s="27" t="s">
        <v>57</v>
      </c>
      <c r="BL388" s="25">
        <v>728</v>
      </c>
      <c r="BW388" s="25">
        <v>21</v>
      </c>
      <c r="BX388" s="5" t="s">
        <v>1178</v>
      </c>
    </row>
    <row r="389" spans="1:76" x14ac:dyDescent="0.25">
      <c r="A389" s="2" t="s">
        <v>1179</v>
      </c>
      <c r="B389" s="3" t="s">
        <v>1180</v>
      </c>
      <c r="C389" s="93" t="s">
        <v>1181</v>
      </c>
      <c r="D389" s="94"/>
      <c r="E389" s="3" t="s">
        <v>52</v>
      </c>
      <c r="F389" s="25">
        <v>1</v>
      </c>
      <c r="G389" s="25">
        <v>0</v>
      </c>
      <c r="H389" s="25">
        <f t="shared" si="354"/>
        <v>0</v>
      </c>
      <c r="I389" s="25">
        <f t="shared" si="355"/>
        <v>0</v>
      </c>
      <c r="J389" s="25">
        <f t="shared" si="356"/>
        <v>0</v>
      </c>
      <c r="K389" s="26" t="s">
        <v>53</v>
      </c>
      <c r="Z389" s="25">
        <f t="shared" si="357"/>
        <v>0</v>
      </c>
      <c r="AB389" s="25">
        <f t="shared" si="358"/>
        <v>0</v>
      </c>
      <c r="AC389" s="25">
        <f t="shared" si="359"/>
        <v>0</v>
      </c>
      <c r="AD389" s="25">
        <f t="shared" si="360"/>
        <v>0</v>
      </c>
      <c r="AE389" s="25">
        <f t="shared" si="361"/>
        <v>0</v>
      </c>
      <c r="AF389" s="25">
        <f t="shared" si="362"/>
        <v>0</v>
      </c>
      <c r="AG389" s="25">
        <f t="shared" si="363"/>
        <v>0</v>
      </c>
      <c r="AH389" s="25">
        <f t="shared" si="364"/>
        <v>0</v>
      </c>
      <c r="AI389" s="11" t="s">
        <v>46</v>
      </c>
      <c r="AJ389" s="25">
        <f t="shared" si="365"/>
        <v>0</v>
      </c>
      <c r="AK389" s="25">
        <f t="shared" si="366"/>
        <v>0</v>
      </c>
      <c r="AL389" s="25">
        <f t="shared" si="367"/>
        <v>0</v>
      </c>
      <c r="AN389" s="25">
        <v>21</v>
      </c>
      <c r="AO389" s="25">
        <f>G389*0.529995792</f>
        <v>0</v>
      </c>
      <c r="AP389" s="25">
        <f>G389*(1-0.529995792)</f>
        <v>0</v>
      </c>
      <c r="AQ389" s="27" t="s">
        <v>76</v>
      </c>
      <c r="AV389" s="25">
        <f t="shared" si="368"/>
        <v>0</v>
      </c>
      <c r="AW389" s="25">
        <f t="shared" si="369"/>
        <v>0</v>
      </c>
      <c r="AX389" s="25">
        <f t="shared" si="370"/>
        <v>0</v>
      </c>
      <c r="AY389" s="27" t="s">
        <v>1027</v>
      </c>
      <c r="AZ389" s="27" t="s">
        <v>585</v>
      </c>
      <c r="BA389" s="11" t="s">
        <v>56</v>
      </c>
      <c r="BC389" s="25">
        <f t="shared" si="371"/>
        <v>0</v>
      </c>
      <c r="BD389" s="25">
        <f t="shared" si="372"/>
        <v>0</v>
      </c>
      <c r="BE389" s="25">
        <v>0</v>
      </c>
      <c r="BF389" s="25">
        <f>389</f>
        <v>389</v>
      </c>
      <c r="BH389" s="25">
        <f t="shared" si="373"/>
        <v>0</v>
      </c>
      <c r="BI389" s="25">
        <f t="shared" si="374"/>
        <v>0</v>
      </c>
      <c r="BJ389" s="25">
        <f t="shared" si="375"/>
        <v>0</v>
      </c>
      <c r="BK389" s="27" t="s">
        <v>57</v>
      </c>
      <c r="BL389" s="25">
        <v>728</v>
      </c>
      <c r="BW389" s="25">
        <v>21</v>
      </c>
      <c r="BX389" s="5" t="s">
        <v>1181</v>
      </c>
    </row>
    <row r="390" spans="1:76" x14ac:dyDescent="0.25">
      <c r="A390" s="2" t="s">
        <v>1182</v>
      </c>
      <c r="B390" s="3" t="s">
        <v>1183</v>
      </c>
      <c r="C390" s="93" t="s">
        <v>1184</v>
      </c>
      <c r="D390" s="94"/>
      <c r="E390" s="3" t="s">
        <v>52</v>
      </c>
      <c r="F390" s="25">
        <v>6</v>
      </c>
      <c r="G390" s="25">
        <v>0</v>
      </c>
      <c r="H390" s="25">
        <f t="shared" si="354"/>
        <v>0</v>
      </c>
      <c r="I390" s="25">
        <f t="shared" si="355"/>
        <v>0</v>
      </c>
      <c r="J390" s="25">
        <f t="shared" si="356"/>
        <v>0</v>
      </c>
      <c r="K390" s="26" t="s">
        <v>53</v>
      </c>
      <c r="Z390" s="25">
        <f t="shared" si="357"/>
        <v>0</v>
      </c>
      <c r="AB390" s="25">
        <f t="shared" si="358"/>
        <v>0</v>
      </c>
      <c r="AC390" s="25">
        <f t="shared" si="359"/>
        <v>0</v>
      </c>
      <c r="AD390" s="25">
        <f t="shared" si="360"/>
        <v>0</v>
      </c>
      <c r="AE390" s="25">
        <f t="shared" si="361"/>
        <v>0</v>
      </c>
      <c r="AF390" s="25">
        <f t="shared" si="362"/>
        <v>0</v>
      </c>
      <c r="AG390" s="25">
        <f t="shared" si="363"/>
        <v>0</v>
      </c>
      <c r="AH390" s="25">
        <f t="shared" si="364"/>
        <v>0</v>
      </c>
      <c r="AI390" s="11" t="s">
        <v>46</v>
      </c>
      <c r="AJ390" s="25">
        <f t="shared" si="365"/>
        <v>0</v>
      </c>
      <c r="AK390" s="25">
        <f t="shared" si="366"/>
        <v>0</v>
      </c>
      <c r="AL390" s="25">
        <f t="shared" si="367"/>
        <v>0</v>
      </c>
      <c r="AN390" s="25">
        <v>21</v>
      </c>
      <c r="AO390" s="25">
        <f>G390*0.530000681</f>
        <v>0</v>
      </c>
      <c r="AP390" s="25">
        <f>G390*(1-0.530000681)</f>
        <v>0</v>
      </c>
      <c r="AQ390" s="27" t="s">
        <v>76</v>
      </c>
      <c r="AV390" s="25">
        <f t="shared" si="368"/>
        <v>0</v>
      </c>
      <c r="AW390" s="25">
        <f t="shared" si="369"/>
        <v>0</v>
      </c>
      <c r="AX390" s="25">
        <f t="shared" si="370"/>
        <v>0</v>
      </c>
      <c r="AY390" s="27" t="s">
        <v>1027</v>
      </c>
      <c r="AZ390" s="27" t="s">
        <v>585</v>
      </c>
      <c r="BA390" s="11" t="s">
        <v>56</v>
      </c>
      <c r="BC390" s="25">
        <f t="shared" si="371"/>
        <v>0</v>
      </c>
      <c r="BD390" s="25">
        <f t="shared" si="372"/>
        <v>0</v>
      </c>
      <c r="BE390" s="25">
        <v>0</v>
      </c>
      <c r="BF390" s="25">
        <f>390</f>
        <v>390</v>
      </c>
      <c r="BH390" s="25">
        <f t="shared" si="373"/>
        <v>0</v>
      </c>
      <c r="BI390" s="25">
        <f t="shared" si="374"/>
        <v>0</v>
      </c>
      <c r="BJ390" s="25">
        <f t="shared" si="375"/>
        <v>0</v>
      </c>
      <c r="BK390" s="27" t="s">
        <v>57</v>
      </c>
      <c r="BL390" s="25">
        <v>728</v>
      </c>
      <c r="BW390" s="25">
        <v>21</v>
      </c>
      <c r="BX390" s="5" t="s">
        <v>1184</v>
      </c>
    </row>
    <row r="391" spans="1:76" x14ac:dyDescent="0.25">
      <c r="A391" s="2" t="s">
        <v>1185</v>
      </c>
      <c r="B391" s="3" t="s">
        <v>1186</v>
      </c>
      <c r="C391" s="93" t="s">
        <v>1187</v>
      </c>
      <c r="D391" s="94"/>
      <c r="E391" s="3" t="s">
        <v>52</v>
      </c>
      <c r="F391" s="25">
        <v>1</v>
      </c>
      <c r="G391" s="25">
        <v>0</v>
      </c>
      <c r="H391" s="25">
        <f t="shared" si="354"/>
        <v>0</v>
      </c>
      <c r="I391" s="25">
        <f t="shared" si="355"/>
        <v>0</v>
      </c>
      <c r="J391" s="25">
        <f t="shared" si="356"/>
        <v>0</v>
      </c>
      <c r="K391" s="26" t="s">
        <v>53</v>
      </c>
      <c r="Z391" s="25">
        <f t="shared" si="357"/>
        <v>0</v>
      </c>
      <c r="AB391" s="25">
        <f t="shared" si="358"/>
        <v>0</v>
      </c>
      <c r="AC391" s="25">
        <f t="shared" si="359"/>
        <v>0</v>
      </c>
      <c r="AD391" s="25">
        <f t="shared" si="360"/>
        <v>0</v>
      </c>
      <c r="AE391" s="25">
        <f t="shared" si="361"/>
        <v>0</v>
      </c>
      <c r="AF391" s="25">
        <f t="shared" si="362"/>
        <v>0</v>
      </c>
      <c r="AG391" s="25">
        <f t="shared" si="363"/>
        <v>0</v>
      </c>
      <c r="AH391" s="25">
        <f t="shared" si="364"/>
        <v>0</v>
      </c>
      <c r="AI391" s="11" t="s">
        <v>46</v>
      </c>
      <c r="AJ391" s="25">
        <f t="shared" si="365"/>
        <v>0</v>
      </c>
      <c r="AK391" s="25">
        <f t="shared" si="366"/>
        <v>0</v>
      </c>
      <c r="AL391" s="25">
        <f t="shared" si="367"/>
        <v>0</v>
      </c>
      <c r="AN391" s="25">
        <v>21</v>
      </c>
      <c r="AO391" s="25">
        <f>G391*0.529976434</f>
        <v>0</v>
      </c>
      <c r="AP391" s="25">
        <f>G391*(1-0.529976434)</f>
        <v>0</v>
      </c>
      <c r="AQ391" s="27" t="s">
        <v>76</v>
      </c>
      <c r="AV391" s="25">
        <f t="shared" si="368"/>
        <v>0</v>
      </c>
      <c r="AW391" s="25">
        <f t="shared" si="369"/>
        <v>0</v>
      </c>
      <c r="AX391" s="25">
        <f t="shared" si="370"/>
        <v>0</v>
      </c>
      <c r="AY391" s="27" t="s">
        <v>1027</v>
      </c>
      <c r="AZ391" s="27" t="s">
        <v>585</v>
      </c>
      <c r="BA391" s="11" t="s">
        <v>56</v>
      </c>
      <c r="BC391" s="25">
        <f t="shared" si="371"/>
        <v>0</v>
      </c>
      <c r="BD391" s="25">
        <f t="shared" si="372"/>
        <v>0</v>
      </c>
      <c r="BE391" s="25">
        <v>0</v>
      </c>
      <c r="BF391" s="25">
        <f>391</f>
        <v>391</v>
      </c>
      <c r="BH391" s="25">
        <f t="shared" si="373"/>
        <v>0</v>
      </c>
      <c r="BI391" s="25">
        <f t="shared" si="374"/>
        <v>0</v>
      </c>
      <c r="BJ391" s="25">
        <f t="shared" si="375"/>
        <v>0</v>
      </c>
      <c r="BK391" s="27" t="s">
        <v>57</v>
      </c>
      <c r="BL391" s="25">
        <v>728</v>
      </c>
      <c r="BW391" s="25">
        <v>21</v>
      </c>
      <c r="BX391" s="5" t="s">
        <v>1187</v>
      </c>
    </row>
    <row r="392" spans="1:76" x14ac:dyDescent="0.25">
      <c r="A392" s="2" t="s">
        <v>1188</v>
      </c>
      <c r="B392" s="3" t="s">
        <v>1189</v>
      </c>
      <c r="C392" s="93" t="s">
        <v>1190</v>
      </c>
      <c r="D392" s="94"/>
      <c r="E392" s="3" t="s">
        <v>93</v>
      </c>
      <c r="F392" s="25">
        <v>99</v>
      </c>
      <c r="G392" s="25">
        <v>0</v>
      </c>
      <c r="H392" s="25">
        <f t="shared" si="354"/>
        <v>0</v>
      </c>
      <c r="I392" s="25">
        <f t="shared" si="355"/>
        <v>0</v>
      </c>
      <c r="J392" s="25">
        <f t="shared" si="356"/>
        <v>0</v>
      </c>
      <c r="K392" s="26" t="s">
        <v>53</v>
      </c>
      <c r="Z392" s="25">
        <f t="shared" si="357"/>
        <v>0</v>
      </c>
      <c r="AB392" s="25">
        <f t="shared" si="358"/>
        <v>0</v>
      </c>
      <c r="AC392" s="25">
        <f t="shared" si="359"/>
        <v>0</v>
      </c>
      <c r="AD392" s="25">
        <f t="shared" si="360"/>
        <v>0</v>
      </c>
      <c r="AE392" s="25">
        <f t="shared" si="361"/>
        <v>0</v>
      </c>
      <c r="AF392" s="25">
        <f t="shared" si="362"/>
        <v>0</v>
      </c>
      <c r="AG392" s="25">
        <f t="shared" si="363"/>
        <v>0</v>
      </c>
      <c r="AH392" s="25">
        <f t="shared" si="364"/>
        <v>0</v>
      </c>
      <c r="AI392" s="11" t="s">
        <v>46</v>
      </c>
      <c r="AJ392" s="25">
        <f t="shared" si="365"/>
        <v>0</v>
      </c>
      <c r="AK392" s="25">
        <f t="shared" si="366"/>
        <v>0</v>
      </c>
      <c r="AL392" s="25">
        <f t="shared" si="367"/>
        <v>0</v>
      </c>
      <c r="AN392" s="25">
        <v>21</v>
      </c>
      <c r="AO392" s="25">
        <f>G392*0.530000023</f>
        <v>0</v>
      </c>
      <c r="AP392" s="25">
        <f>G392*(1-0.530000023)</f>
        <v>0</v>
      </c>
      <c r="AQ392" s="27" t="s">
        <v>76</v>
      </c>
      <c r="AV392" s="25">
        <f t="shared" si="368"/>
        <v>0</v>
      </c>
      <c r="AW392" s="25">
        <f t="shared" si="369"/>
        <v>0</v>
      </c>
      <c r="AX392" s="25">
        <f t="shared" si="370"/>
        <v>0</v>
      </c>
      <c r="AY392" s="27" t="s">
        <v>1027</v>
      </c>
      <c r="AZ392" s="27" t="s">
        <v>585</v>
      </c>
      <c r="BA392" s="11" t="s">
        <v>56</v>
      </c>
      <c r="BC392" s="25">
        <f t="shared" si="371"/>
        <v>0</v>
      </c>
      <c r="BD392" s="25">
        <f t="shared" si="372"/>
        <v>0</v>
      </c>
      <c r="BE392" s="25">
        <v>0</v>
      </c>
      <c r="BF392" s="25">
        <f>392</f>
        <v>392</v>
      </c>
      <c r="BH392" s="25">
        <f t="shared" si="373"/>
        <v>0</v>
      </c>
      <c r="BI392" s="25">
        <f t="shared" si="374"/>
        <v>0</v>
      </c>
      <c r="BJ392" s="25">
        <f t="shared" si="375"/>
        <v>0</v>
      </c>
      <c r="BK392" s="27" t="s">
        <v>57</v>
      </c>
      <c r="BL392" s="25">
        <v>728</v>
      </c>
      <c r="BW392" s="25">
        <v>21</v>
      </c>
      <c r="BX392" s="5" t="s">
        <v>1190</v>
      </c>
    </row>
    <row r="393" spans="1:76" x14ac:dyDescent="0.25">
      <c r="A393" s="2" t="s">
        <v>1191</v>
      </c>
      <c r="B393" s="3" t="s">
        <v>1192</v>
      </c>
      <c r="C393" s="93" t="s">
        <v>1193</v>
      </c>
      <c r="D393" s="94"/>
      <c r="E393" s="3" t="s">
        <v>52</v>
      </c>
      <c r="F393" s="25">
        <v>1</v>
      </c>
      <c r="G393" s="25">
        <v>0</v>
      </c>
      <c r="H393" s="25">
        <f t="shared" si="354"/>
        <v>0</v>
      </c>
      <c r="I393" s="25">
        <f t="shared" si="355"/>
        <v>0</v>
      </c>
      <c r="J393" s="25">
        <f t="shared" si="356"/>
        <v>0</v>
      </c>
      <c r="K393" s="26" t="s">
        <v>53</v>
      </c>
      <c r="Z393" s="25">
        <f t="shared" si="357"/>
        <v>0</v>
      </c>
      <c r="AB393" s="25">
        <f t="shared" si="358"/>
        <v>0</v>
      </c>
      <c r="AC393" s="25">
        <f t="shared" si="359"/>
        <v>0</v>
      </c>
      <c r="AD393" s="25">
        <f t="shared" si="360"/>
        <v>0</v>
      </c>
      <c r="AE393" s="25">
        <f t="shared" si="361"/>
        <v>0</v>
      </c>
      <c r="AF393" s="25">
        <f t="shared" si="362"/>
        <v>0</v>
      </c>
      <c r="AG393" s="25">
        <f t="shared" si="363"/>
        <v>0</v>
      </c>
      <c r="AH393" s="25">
        <f t="shared" si="364"/>
        <v>0</v>
      </c>
      <c r="AI393" s="11" t="s">
        <v>46</v>
      </c>
      <c r="AJ393" s="25">
        <f t="shared" si="365"/>
        <v>0</v>
      </c>
      <c r="AK393" s="25">
        <f t="shared" si="366"/>
        <v>0</v>
      </c>
      <c r="AL393" s="25">
        <f t="shared" si="367"/>
        <v>0</v>
      </c>
      <c r="AN393" s="25">
        <v>21</v>
      </c>
      <c r="AO393" s="25">
        <f>G393*0</f>
        <v>0</v>
      </c>
      <c r="AP393" s="25">
        <f>G393*(1-0)</f>
        <v>0</v>
      </c>
      <c r="AQ393" s="27" t="s">
        <v>76</v>
      </c>
      <c r="AV393" s="25">
        <f t="shared" si="368"/>
        <v>0</v>
      </c>
      <c r="AW393" s="25">
        <f t="shared" si="369"/>
        <v>0</v>
      </c>
      <c r="AX393" s="25">
        <f t="shared" si="370"/>
        <v>0</v>
      </c>
      <c r="AY393" s="27" t="s">
        <v>1027</v>
      </c>
      <c r="AZ393" s="27" t="s">
        <v>585</v>
      </c>
      <c r="BA393" s="11" t="s">
        <v>56</v>
      </c>
      <c r="BC393" s="25">
        <f t="shared" si="371"/>
        <v>0</v>
      </c>
      <c r="BD393" s="25">
        <f t="shared" si="372"/>
        <v>0</v>
      </c>
      <c r="BE393" s="25">
        <v>0</v>
      </c>
      <c r="BF393" s="25">
        <f>393</f>
        <v>393</v>
      </c>
      <c r="BH393" s="25">
        <f t="shared" si="373"/>
        <v>0</v>
      </c>
      <c r="BI393" s="25">
        <f t="shared" si="374"/>
        <v>0</v>
      </c>
      <c r="BJ393" s="25">
        <f t="shared" si="375"/>
        <v>0</v>
      </c>
      <c r="BK393" s="27" t="s">
        <v>57</v>
      </c>
      <c r="BL393" s="25">
        <v>728</v>
      </c>
      <c r="BW393" s="25">
        <v>21</v>
      </c>
      <c r="BX393" s="5" t="s">
        <v>1193</v>
      </c>
    </row>
    <row r="394" spans="1:76" x14ac:dyDescent="0.25">
      <c r="A394" s="2" t="s">
        <v>1194</v>
      </c>
      <c r="B394" s="3" t="s">
        <v>1195</v>
      </c>
      <c r="C394" s="93" t="s">
        <v>1196</v>
      </c>
      <c r="D394" s="94"/>
      <c r="E394" s="3" t="s">
        <v>93</v>
      </c>
      <c r="F394" s="25">
        <v>80</v>
      </c>
      <c r="G394" s="25">
        <v>0</v>
      </c>
      <c r="H394" s="25">
        <f t="shared" si="354"/>
        <v>0</v>
      </c>
      <c r="I394" s="25">
        <f t="shared" si="355"/>
        <v>0</v>
      </c>
      <c r="J394" s="25">
        <f t="shared" si="356"/>
        <v>0</v>
      </c>
      <c r="K394" s="26" t="s">
        <v>53</v>
      </c>
      <c r="Z394" s="25">
        <f t="shared" si="357"/>
        <v>0</v>
      </c>
      <c r="AB394" s="25">
        <f t="shared" si="358"/>
        <v>0</v>
      </c>
      <c r="AC394" s="25">
        <f t="shared" si="359"/>
        <v>0</v>
      </c>
      <c r="AD394" s="25">
        <f t="shared" si="360"/>
        <v>0</v>
      </c>
      <c r="AE394" s="25">
        <f t="shared" si="361"/>
        <v>0</v>
      </c>
      <c r="AF394" s="25">
        <f t="shared" si="362"/>
        <v>0</v>
      </c>
      <c r="AG394" s="25">
        <f t="shared" si="363"/>
        <v>0</v>
      </c>
      <c r="AH394" s="25">
        <f t="shared" si="364"/>
        <v>0</v>
      </c>
      <c r="AI394" s="11" t="s">
        <v>46</v>
      </c>
      <c r="AJ394" s="25">
        <f t="shared" si="365"/>
        <v>0</v>
      </c>
      <c r="AK394" s="25">
        <f t="shared" si="366"/>
        <v>0</v>
      </c>
      <c r="AL394" s="25">
        <f t="shared" si="367"/>
        <v>0</v>
      </c>
      <c r="AN394" s="25">
        <v>21</v>
      </c>
      <c r="AO394" s="25">
        <f>G394*0</f>
        <v>0</v>
      </c>
      <c r="AP394" s="25">
        <f>G394*(1-0)</f>
        <v>0</v>
      </c>
      <c r="AQ394" s="27" t="s">
        <v>76</v>
      </c>
      <c r="AV394" s="25">
        <f t="shared" si="368"/>
        <v>0</v>
      </c>
      <c r="AW394" s="25">
        <f t="shared" si="369"/>
        <v>0</v>
      </c>
      <c r="AX394" s="25">
        <f t="shared" si="370"/>
        <v>0</v>
      </c>
      <c r="AY394" s="27" t="s">
        <v>1027</v>
      </c>
      <c r="AZ394" s="27" t="s">
        <v>585</v>
      </c>
      <c r="BA394" s="11" t="s">
        <v>56</v>
      </c>
      <c r="BC394" s="25">
        <f t="shared" si="371"/>
        <v>0</v>
      </c>
      <c r="BD394" s="25">
        <f t="shared" si="372"/>
        <v>0</v>
      </c>
      <c r="BE394" s="25">
        <v>0</v>
      </c>
      <c r="BF394" s="25">
        <f>394</f>
        <v>394</v>
      </c>
      <c r="BH394" s="25">
        <f t="shared" si="373"/>
        <v>0</v>
      </c>
      <c r="BI394" s="25">
        <f t="shared" si="374"/>
        <v>0</v>
      </c>
      <c r="BJ394" s="25">
        <f t="shared" si="375"/>
        <v>0</v>
      </c>
      <c r="BK394" s="27" t="s">
        <v>57</v>
      </c>
      <c r="BL394" s="25">
        <v>728</v>
      </c>
      <c r="BW394" s="25">
        <v>21</v>
      </c>
      <c r="BX394" s="5" t="s">
        <v>1196</v>
      </c>
    </row>
    <row r="395" spans="1:76" x14ac:dyDescent="0.25">
      <c r="A395" s="2" t="s">
        <v>1197</v>
      </c>
      <c r="B395" s="3" t="s">
        <v>1198</v>
      </c>
      <c r="C395" s="93" t="s">
        <v>1199</v>
      </c>
      <c r="D395" s="94"/>
      <c r="E395" s="3" t="s">
        <v>131</v>
      </c>
      <c r="F395" s="25">
        <v>120</v>
      </c>
      <c r="G395" s="25">
        <v>0</v>
      </c>
      <c r="H395" s="25">
        <f t="shared" si="354"/>
        <v>0</v>
      </c>
      <c r="I395" s="25">
        <f t="shared" si="355"/>
        <v>0</v>
      </c>
      <c r="J395" s="25">
        <f t="shared" si="356"/>
        <v>0</v>
      </c>
      <c r="K395" s="26" t="s">
        <v>53</v>
      </c>
      <c r="Z395" s="25">
        <f t="shared" si="357"/>
        <v>0</v>
      </c>
      <c r="AB395" s="25">
        <f t="shared" si="358"/>
        <v>0</v>
      </c>
      <c r="AC395" s="25">
        <f t="shared" si="359"/>
        <v>0</v>
      </c>
      <c r="AD395" s="25">
        <f t="shared" si="360"/>
        <v>0</v>
      </c>
      <c r="AE395" s="25">
        <f t="shared" si="361"/>
        <v>0</v>
      </c>
      <c r="AF395" s="25">
        <f t="shared" si="362"/>
        <v>0</v>
      </c>
      <c r="AG395" s="25">
        <f t="shared" si="363"/>
        <v>0</v>
      </c>
      <c r="AH395" s="25">
        <f t="shared" si="364"/>
        <v>0</v>
      </c>
      <c r="AI395" s="11" t="s">
        <v>46</v>
      </c>
      <c r="AJ395" s="25">
        <f t="shared" si="365"/>
        <v>0</v>
      </c>
      <c r="AK395" s="25">
        <f t="shared" si="366"/>
        <v>0</v>
      </c>
      <c r="AL395" s="25">
        <f t="shared" si="367"/>
        <v>0</v>
      </c>
      <c r="AN395" s="25">
        <v>21</v>
      </c>
      <c r="AO395" s="25">
        <f>G395*0</f>
        <v>0</v>
      </c>
      <c r="AP395" s="25">
        <f>G395*(1-0)</f>
        <v>0</v>
      </c>
      <c r="AQ395" s="27" t="s">
        <v>76</v>
      </c>
      <c r="AV395" s="25">
        <f t="shared" si="368"/>
        <v>0</v>
      </c>
      <c r="AW395" s="25">
        <f t="shared" si="369"/>
        <v>0</v>
      </c>
      <c r="AX395" s="25">
        <f t="shared" si="370"/>
        <v>0</v>
      </c>
      <c r="AY395" s="27" t="s">
        <v>1027</v>
      </c>
      <c r="AZ395" s="27" t="s">
        <v>585</v>
      </c>
      <c r="BA395" s="11" t="s">
        <v>56</v>
      </c>
      <c r="BC395" s="25">
        <f t="shared" si="371"/>
        <v>0</v>
      </c>
      <c r="BD395" s="25">
        <f t="shared" si="372"/>
        <v>0</v>
      </c>
      <c r="BE395" s="25">
        <v>0</v>
      </c>
      <c r="BF395" s="25">
        <f>395</f>
        <v>395</v>
      </c>
      <c r="BH395" s="25">
        <f t="shared" si="373"/>
        <v>0</v>
      </c>
      <c r="BI395" s="25">
        <f t="shared" si="374"/>
        <v>0</v>
      </c>
      <c r="BJ395" s="25">
        <f t="shared" si="375"/>
        <v>0</v>
      </c>
      <c r="BK395" s="27" t="s">
        <v>57</v>
      </c>
      <c r="BL395" s="25">
        <v>728</v>
      </c>
      <c r="BW395" s="25">
        <v>21</v>
      </c>
      <c r="BX395" s="5" t="s">
        <v>1199</v>
      </c>
    </row>
    <row r="396" spans="1:76" x14ac:dyDescent="0.25">
      <c r="A396" s="2" t="s">
        <v>1200</v>
      </c>
      <c r="B396" s="3" t="s">
        <v>1201</v>
      </c>
      <c r="C396" s="93" t="s">
        <v>1202</v>
      </c>
      <c r="D396" s="94"/>
      <c r="E396" s="3" t="s">
        <v>131</v>
      </c>
      <c r="F396" s="25">
        <v>7.7</v>
      </c>
      <c r="G396" s="25">
        <v>0</v>
      </c>
      <c r="H396" s="25">
        <f t="shared" si="354"/>
        <v>0</v>
      </c>
      <c r="I396" s="25">
        <f t="shared" si="355"/>
        <v>0</v>
      </c>
      <c r="J396" s="25">
        <f t="shared" si="356"/>
        <v>0</v>
      </c>
      <c r="K396" s="26" t="s">
        <v>53</v>
      </c>
      <c r="Z396" s="25">
        <f t="shared" si="357"/>
        <v>0</v>
      </c>
      <c r="AB396" s="25">
        <f t="shared" si="358"/>
        <v>0</v>
      </c>
      <c r="AC396" s="25">
        <f t="shared" si="359"/>
        <v>0</v>
      </c>
      <c r="AD396" s="25">
        <f t="shared" si="360"/>
        <v>0</v>
      </c>
      <c r="AE396" s="25">
        <f t="shared" si="361"/>
        <v>0</v>
      </c>
      <c r="AF396" s="25">
        <f t="shared" si="362"/>
        <v>0</v>
      </c>
      <c r="AG396" s="25">
        <f t="shared" si="363"/>
        <v>0</v>
      </c>
      <c r="AH396" s="25">
        <f t="shared" si="364"/>
        <v>0</v>
      </c>
      <c r="AI396" s="11" t="s">
        <v>46</v>
      </c>
      <c r="AJ396" s="25">
        <f t="shared" si="365"/>
        <v>0</v>
      </c>
      <c r="AK396" s="25">
        <f t="shared" si="366"/>
        <v>0</v>
      </c>
      <c r="AL396" s="25">
        <f t="shared" si="367"/>
        <v>0</v>
      </c>
      <c r="AN396" s="25">
        <v>21</v>
      </c>
      <c r="AO396" s="25">
        <f>G396*0.530000204</f>
        <v>0</v>
      </c>
      <c r="AP396" s="25">
        <f>G396*(1-0.530000204)</f>
        <v>0</v>
      </c>
      <c r="AQ396" s="27" t="s">
        <v>76</v>
      </c>
      <c r="AV396" s="25">
        <f t="shared" si="368"/>
        <v>0</v>
      </c>
      <c r="AW396" s="25">
        <f t="shared" si="369"/>
        <v>0</v>
      </c>
      <c r="AX396" s="25">
        <f t="shared" si="370"/>
        <v>0</v>
      </c>
      <c r="AY396" s="27" t="s">
        <v>1027</v>
      </c>
      <c r="AZ396" s="27" t="s">
        <v>585</v>
      </c>
      <c r="BA396" s="11" t="s">
        <v>56</v>
      </c>
      <c r="BC396" s="25">
        <f t="shared" si="371"/>
        <v>0</v>
      </c>
      <c r="BD396" s="25">
        <f t="shared" si="372"/>
        <v>0</v>
      </c>
      <c r="BE396" s="25">
        <v>0</v>
      </c>
      <c r="BF396" s="25">
        <f>396</f>
        <v>396</v>
      </c>
      <c r="BH396" s="25">
        <f t="shared" si="373"/>
        <v>0</v>
      </c>
      <c r="BI396" s="25">
        <f t="shared" si="374"/>
        <v>0</v>
      </c>
      <c r="BJ396" s="25">
        <f t="shared" si="375"/>
        <v>0</v>
      </c>
      <c r="BK396" s="27" t="s">
        <v>57</v>
      </c>
      <c r="BL396" s="25">
        <v>728</v>
      </c>
      <c r="BW396" s="25">
        <v>21</v>
      </c>
      <c r="BX396" s="5" t="s">
        <v>1202</v>
      </c>
    </row>
    <row r="397" spans="1:76" x14ac:dyDescent="0.25">
      <c r="A397" s="2" t="s">
        <v>1203</v>
      </c>
      <c r="B397" s="3" t="s">
        <v>1204</v>
      </c>
      <c r="C397" s="93" t="s">
        <v>1205</v>
      </c>
      <c r="D397" s="94"/>
      <c r="E397" s="3" t="s">
        <v>131</v>
      </c>
      <c r="F397" s="25">
        <v>3.2</v>
      </c>
      <c r="G397" s="25">
        <v>0</v>
      </c>
      <c r="H397" s="25">
        <f t="shared" si="354"/>
        <v>0</v>
      </c>
      <c r="I397" s="25">
        <f t="shared" si="355"/>
        <v>0</v>
      </c>
      <c r="J397" s="25">
        <f t="shared" si="356"/>
        <v>0</v>
      </c>
      <c r="K397" s="26" t="s">
        <v>53</v>
      </c>
      <c r="Z397" s="25">
        <f t="shared" si="357"/>
        <v>0</v>
      </c>
      <c r="AB397" s="25">
        <f t="shared" si="358"/>
        <v>0</v>
      </c>
      <c r="AC397" s="25">
        <f t="shared" si="359"/>
        <v>0</v>
      </c>
      <c r="AD397" s="25">
        <f t="shared" si="360"/>
        <v>0</v>
      </c>
      <c r="AE397" s="25">
        <f t="shared" si="361"/>
        <v>0</v>
      </c>
      <c r="AF397" s="25">
        <f t="shared" si="362"/>
        <v>0</v>
      </c>
      <c r="AG397" s="25">
        <f t="shared" si="363"/>
        <v>0</v>
      </c>
      <c r="AH397" s="25">
        <f t="shared" si="364"/>
        <v>0</v>
      </c>
      <c r="AI397" s="11" t="s">
        <v>46</v>
      </c>
      <c r="AJ397" s="25">
        <f t="shared" si="365"/>
        <v>0</v>
      </c>
      <c r="AK397" s="25">
        <f t="shared" si="366"/>
        <v>0</v>
      </c>
      <c r="AL397" s="25">
        <f t="shared" si="367"/>
        <v>0</v>
      </c>
      <c r="AN397" s="25">
        <v>21</v>
      </c>
      <c r="AO397" s="25">
        <f>G397*0.530003836</f>
        <v>0</v>
      </c>
      <c r="AP397" s="25">
        <f>G397*(1-0.530003836)</f>
        <v>0</v>
      </c>
      <c r="AQ397" s="27" t="s">
        <v>76</v>
      </c>
      <c r="AV397" s="25">
        <f t="shared" si="368"/>
        <v>0</v>
      </c>
      <c r="AW397" s="25">
        <f t="shared" si="369"/>
        <v>0</v>
      </c>
      <c r="AX397" s="25">
        <f t="shared" si="370"/>
        <v>0</v>
      </c>
      <c r="AY397" s="27" t="s">
        <v>1027</v>
      </c>
      <c r="AZ397" s="27" t="s">
        <v>585</v>
      </c>
      <c r="BA397" s="11" t="s">
        <v>56</v>
      </c>
      <c r="BC397" s="25">
        <f t="shared" si="371"/>
        <v>0</v>
      </c>
      <c r="BD397" s="25">
        <f t="shared" si="372"/>
        <v>0</v>
      </c>
      <c r="BE397" s="25">
        <v>0</v>
      </c>
      <c r="BF397" s="25">
        <f>397</f>
        <v>397</v>
      </c>
      <c r="BH397" s="25">
        <f t="shared" si="373"/>
        <v>0</v>
      </c>
      <c r="BI397" s="25">
        <f t="shared" si="374"/>
        <v>0</v>
      </c>
      <c r="BJ397" s="25">
        <f t="shared" si="375"/>
        <v>0</v>
      </c>
      <c r="BK397" s="27" t="s">
        <v>57</v>
      </c>
      <c r="BL397" s="25">
        <v>728</v>
      </c>
      <c r="BW397" s="25">
        <v>21</v>
      </c>
      <c r="BX397" s="5" t="s">
        <v>1205</v>
      </c>
    </row>
    <row r="398" spans="1:76" x14ac:dyDescent="0.25">
      <c r="A398" s="2" t="s">
        <v>1206</v>
      </c>
      <c r="B398" s="3" t="s">
        <v>1207</v>
      </c>
      <c r="C398" s="93" t="s">
        <v>1208</v>
      </c>
      <c r="D398" s="94"/>
      <c r="E398" s="3" t="s">
        <v>131</v>
      </c>
      <c r="F398" s="25">
        <v>10.6</v>
      </c>
      <c r="G398" s="25">
        <v>0</v>
      </c>
      <c r="H398" s="25">
        <f t="shared" si="354"/>
        <v>0</v>
      </c>
      <c r="I398" s="25">
        <f t="shared" si="355"/>
        <v>0</v>
      </c>
      <c r="J398" s="25">
        <f t="shared" si="356"/>
        <v>0</v>
      </c>
      <c r="K398" s="26" t="s">
        <v>53</v>
      </c>
      <c r="Z398" s="25">
        <f t="shared" si="357"/>
        <v>0</v>
      </c>
      <c r="AB398" s="25">
        <f t="shared" si="358"/>
        <v>0</v>
      </c>
      <c r="AC398" s="25">
        <f t="shared" si="359"/>
        <v>0</v>
      </c>
      <c r="AD398" s="25">
        <f t="shared" si="360"/>
        <v>0</v>
      </c>
      <c r="AE398" s="25">
        <f t="shared" si="361"/>
        <v>0</v>
      </c>
      <c r="AF398" s="25">
        <f t="shared" si="362"/>
        <v>0</v>
      </c>
      <c r="AG398" s="25">
        <f t="shared" si="363"/>
        <v>0</v>
      </c>
      <c r="AH398" s="25">
        <f t="shared" si="364"/>
        <v>0</v>
      </c>
      <c r="AI398" s="11" t="s">
        <v>46</v>
      </c>
      <c r="AJ398" s="25">
        <f t="shared" si="365"/>
        <v>0</v>
      </c>
      <c r="AK398" s="25">
        <f t="shared" si="366"/>
        <v>0</v>
      </c>
      <c r="AL398" s="25">
        <f t="shared" si="367"/>
        <v>0</v>
      </c>
      <c r="AN398" s="25">
        <v>21</v>
      </c>
      <c r="AO398" s="25">
        <f>G398*0.529997644</f>
        <v>0</v>
      </c>
      <c r="AP398" s="25">
        <f>G398*(1-0.529997644)</f>
        <v>0</v>
      </c>
      <c r="AQ398" s="27" t="s">
        <v>76</v>
      </c>
      <c r="AV398" s="25">
        <f t="shared" si="368"/>
        <v>0</v>
      </c>
      <c r="AW398" s="25">
        <f t="shared" si="369"/>
        <v>0</v>
      </c>
      <c r="AX398" s="25">
        <f t="shared" si="370"/>
        <v>0</v>
      </c>
      <c r="AY398" s="27" t="s">
        <v>1027</v>
      </c>
      <c r="AZ398" s="27" t="s">
        <v>585</v>
      </c>
      <c r="BA398" s="11" t="s">
        <v>56</v>
      </c>
      <c r="BC398" s="25">
        <f t="shared" si="371"/>
        <v>0</v>
      </c>
      <c r="BD398" s="25">
        <f t="shared" si="372"/>
        <v>0</v>
      </c>
      <c r="BE398" s="25">
        <v>0</v>
      </c>
      <c r="BF398" s="25">
        <f>398</f>
        <v>398</v>
      </c>
      <c r="BH398" s="25">
        <f t="shared" si="373"/>
        <v>0</v>
      </c>
      <c r="BI398" s="25">
        <f t="shared" si="374"/>
        <v>0</v>
      </c>
      <c r="BJ398" s="25">
        <f t="shared" si="375"/>
        <v>0</v>
      </c>
      <c r="BK398" s="27" t="s">
        <v>57</v>
      </c>
      <c r="BL398" s="25">
        <v>728</v>
      </c>
      <c r="BW398" s="25">
        <v>21</v>
      </c>
      <c r="BX398" s="5" t="s">
        <v>1208</v>
      </c>
    </row>
    <row r="399" spans="1:76" x14ac:dyDescent="0.25">
      <c r="A399" s="2" t="s">
        <v>1209</v>
      </c>
      <c r="B399" s="3" t="s">
        <v>1210</v>
      </c>
      <c r="C399" s="93" t="s">
        <v>1211</v>
      </c>
      <c r="D399" s="94"/>
      <c r="E399" s="3" t="s">
        <v>131</v>
      </c>
      <c r="F399" s="25">
        <v>6.3</v>
      </c>
      <c r="G399" s="25">
        <v>0</v>
      </c>
      <c r="H399" s="25">
        <f t="shared" si="354"/>
        <v>0</v>
      </c>
      <c r="I399" s="25">
        <f t="shared" si="355"/>
        <v>0</v>
      </c>
      <c r="J399" s="25">
        <f t="shared" si="356"/>
        <v>0</v>
      </c>
      <c r="K399" s="26" t="s">
        <v>53</v>
      </c>
      <c r="Z399" s="25">
        <f t="shared" si="357"/>
        <v>0</v>
      </c>
      <c r="AB399" s="25">
        <f t="shared" si="358"/>
        <v>0</v>
      </c>
      <c r="AC399" s="25">
        <f t="shared" si="359"/>
        <v>0</v>
      </c>
      <c r="AD399" s="25">
        <f t="shared" si="360"/>
        <v>0</v>
      </c>
      <c r="AE399" s="25">
        <f t="shared" si="361"/>
        <v>0</v>
      </c>
      <c r="AF399" s="25">
        <f t="shared" si="362"/>
        <v>0</v>
      </c>
      <c r="AG399" s="25">
        <f t="shared" si="363"/>
        <v>0</v>
      </c>
      <c r="AH399" s="25">
        <f t="shared" si="364"/>
        <v>0</v>
      </c>
      <c r="AI399" s="11" t="s">
        <v>46</v>
      </c>
      <c r="AJ399" s="25">
        <f t="shared" si="365"/>
        <v>0</v>
      </c>
      <c r="AK399" s="25">
        <f t="shared" si="366"/>
        <v>0</v>
      </c>
      <c r="AL399" s="25">
        <f t="shared" si="367"/>
        <v>0</v>
      </c>
      <c r="AN399" s="25">
        <v>21</v>
      </c>
      <c r="AO399" s="25">
        <f>G399*0.529997782</f>
        <v>0</v>
      </c>
      <c r="AP399" s="25">
        <f>G399*(1-0.529997782)</f>
        <v>0</v>
      </c>
      <c r="AQ399" s="27" t="s">
        <v>76</v>
      </c>
      <c r="AV399" s="25">
        <f t="shared" si="368"/>
        <v>0</v>
      </c>
      <c r="AW399" s="25">
        <f t="shared" si="369"/>
        <v>0</v>
      </c>
      <c r="AX399" s="25">
        <f t="shared" si="370"/>
        <v>0</v>
      </c>
      <c r="AY399" s="27" t="s">
        <v>1027</v>
      </c>
      <c r="AZ399" s="27" t="s">
        <v>585</v>
      </c>
      <c r="BA399" s="11" t="s">
        <v>56</v>
      </c>
      <c r="BC399" s="25">
        <f t="shared" si="371"/>
        <v>0</v>
      </c>
      <c r="BD399" s="25">
        <f t="shared" si="372"/>
        <v>0</v>
      </c>
      <c r="BE399" s="25">
        <v>0</v>
      </c>
      <c r="BF399" s="25">
        <f>399</f>
        <v>399</v>
      </c>
      <c r="BH399" s="25">
        <f t="shared" si="373"/>
        <v>0</v>
      </c>
      <c r="BI399" s="25">
        <f t="shared" si="374"/>
        <v>0</v>
      </c>
      <c r="BJ399" s="25">
        <f t="shared" si="375"/>
        <v>0</v>
      </c>
      <c r="BK399" s="27" t="s">
        <v>57</v>
      </c>
      <c r="BL399" s="25">
        <v>728</v>
      </c>
      <c r="BW399" s="25">
        <v>21</v>
      </c>
      <c r="BX399" s="5" t="s">
        <v>1211</v>
      </c>
    </row>
    <row r="400" spans="1:76" x14ac:dyDescent="0.25">
      <c r="A400" s="2" t="s">
        <v>1212</v>
      </c>
      <c r="B400" s="3" t="s">
        <v>1213</v>
      </c>
      <c r="C400" s="93" t="s">
        <v>1214</v>
      </c>
      <c r="D400" s="94"/>
      <c r="E400" s="3" t="s">
        <v>131</v>
      </c>
      <c r="F400" s="25">
        <v>7.8</v>
      </c>
      <c r="G400" s="25">
        <v>0</v>
      </c>
      <c r="H400" s="25">
        <f t="shared" si="354"/>
        <v>0</v>
      </c>
      <c r="I400" s="25">
        <f t="shared" si="355"/>
        <v>0</v>
      </c>
      <c r="J400" s="25">
        <f t="shared" si="356"/>
        <v>0</v>
      </c>
      <c r="K400" s="26" t="s">
        <v>53</v>
      </c>
      <c r="Z400" s="25">
        <f t="shared" si="357"/>
        <v>0</v>
      </c>
      <c r="AB400" s="25">
        <f t="shared" si="358"/>
        <v>0</v>
      </c>
      <c r="AC400" s="25">
        <f t="shared" si="359"/>
        <v>0</v>
      </c>
      <c r="AD400" s="25">
        <f t="shared" si="360"/>
        <v>0</v>
      </c>
      <c r="AE400" s="25">
        <f t="shared" si="361"/>
        <v>0</v>
      </c>
      <c r="AF400" s="25">
        <f t="shared" si="362"/>
        <v>0</v>
      </c>
      <c r="AG400" s="25">
        <f t="shared" si="363"/>
        <v>0</v>
      </c>
      <c r="AH400" s="25">
        <f t="shared" si="364"/>
        <v>0</v>
      </c>
      <c r="AI400" s="11" t="s">
        <v>46</v>
      </c>
      <c r="AJ400" s="25">
        <f t="shared" si="365"/>
        <v>0</v>
      </c>
      <c r="AK400" s="25">
        <f t="shared" si="366"/>
        <v>0</v>
      </c>
      <c r="AL400" s="25">
        <f t="shared" si="367"/>
        <v>0</v>
      </c>
      <c r="AN400" s="25">
        <v>21</v>
      </c>
      <c r="AO400" s="25">
        <f>G400*0.530001251</f>
        <v>0</v>
      </c>
      <c r="AP400" s="25">
        <f>G400*(1-0.530001251)</f>
        <v>0</v>
      </c>
      <c r="AQ400" s="27" t="s">
        <v>76</v>
      </c>
      <c r="AV400" s="25">
        <f t="shared" si="368"/>
        <v>0</v>
      </c>
      <c r="AW400" s="25">
        <f t="shared" si="369"/>
        <v>0</v>
      </c>
      <c r="AX400" s="25">
        <f t="shared" si="370"/>
        <v>0</v>
      </c>
      <c r="AY400" s="27" t="s">
        <v>1027</v>
      </c>
      <c r="AZ400" s="27" t="s">
        <v>585</v>
      </c>
      <c r="BA400" s="11" t="s">
        <v>56</v>
      </c>
      <c r="BC400" s="25">
        <f t="shared" si="371"/>
        <v>0</v>
      </c>
      <c r="BD400" s="25">
        <f t="shared" si="372"/>
        <v>0</v>
      </c>
      <c r="BE400" s="25">
        <v>0</v>
      </c>
      <c r="BF400" s="25">
        <f>400</f>
        <v>400</v>
      </c>
      <c r="BH400" s="25">
        <f t="shared" si="373"/>
        <v>0</v>
      </c>
      <c r="BI400" s="25">
        <f t="shared" si="374"/>
        <v>0</v>
      </c>
      <c r="BJ400" s="25">
        <f t="shared" si="375"/>
        <v>0</v>
      </c>
      <c r="BK400" s="27" t="s">
        <v>57</v>
      </c>
      <c r="BL400" s="25">
        <v>728</v>
      </c>
      <c r="BW400" s="25">
        <v>21</v>
      </c>
      <c r="BX400" s="5" t="s">
        <v>1214</v>
      </c>
    </row>
    <row r="401" spans="1:76" x14ac:dyDescent="0.25">
      <c r="A401" s="2" t="s">
        <v>1215</v>
      </c>
      <c r="B401" s="3" t="s">
        <v>1216</v>
      </c>
      <c r="C401" s="93" t="s">
        <v>1217</v>
      </c>
      <c r="D401" s="94"/>
      <c r="E401" s="3" t="s">
        <v>131</v>
      </c>
      <c r="F401" s="25">
        <v>130</v>
      </c>
      <c r="G401" s="25">
        <v>0</v>
      </c>
      <c r="H401" s="25">
        <f t="shared" si="354"/>
        <v>0</v>
      </c>
      <c r="I401" s="25">
        <f t="shared" si="355"/>
        <v>0</v>
      </c>
      <c r="J401" s="25">
        <f t="shared" si="356"/>
        <v>0</v>
      </c>
      <c r="K401" s="26" t="s">
        <v>53</v>
      </c>
      <c r="Z401" s="25">
        <f t="shared" si="357"/>
        <v>0</v>
      </c>
      <c r="AB401" s="25">
        <f t="shared" si="358"/>
        <v>0</v>
      </c>
      <c r="AC401" s="25">
        <f t="shared" si="359"/>
        <v>0</v>
      </c>
      <c r="AD401" s="25">
        <f t="shared" si="360"/>
        <v>0</v>
      </c>
      <c r="AE401" s="25">
        <f t="shared" si="361"/>
        <v>0</v>
      </c>
      <c r="AF401" s="25">
        <f t="shared" si="362"/>
        <v>0</v>
      </c>
      <c r="AG401" s="25">
        <f t="shared" si="363"/>
        <v>0</v>
      </c>
      <c r="AH401" s="25">
        <f t="shared" si="364"/>
        <v>0</v>
      </c>
      <c r="AI401" s="11" t="s">
        <v>46</v>
      </c>
      <c r="AJ401" s="25">
        <f t="shared" si="365"/>
        <v>0</v>
      </c>
      <c r="AK401" s="25">
        <f t="shared" si="366"/>
        <v>0</v>
      </c>
      <c r="AL401" s="25">
        <f t="shared" si="367"/>
        <v>0</v>
      </c>
      <c r="AN401" s="25">
        <v>21</v>
      </c>
      <c r="AO401" s="25">
        <f>G401*0.529995721</f>
        <v>0</v>
      </c>
      <c r="AP401" s="25">
        <f>G401*(1-0.529995721)</f>
        <v>0</v>
      </c>
      <c r="AQ401" s="27" t="s">
        <v>76</v>
      </c>
      <c r="AV401" s="25">
        <f t="shared" si="368"/>
        <v>0</v>
      </c>
      <c r="AW401" s="25">
        <f t="shared" si="369"/>
        <v>0</v>
      </c>
      <c r="AX401" s="25">
        <f t="shared" si="370"/>
        <v>0</v>
      </c>
      <c r="AY401" s="27" t="s">
        <v>1027</v>
      </c>
      <c r="AZ401" s="27" t="s">
        <v>585</v>
      </c>
      <c r="BA401" s="11" t="s">
        <v>56</v>
      </c>
      <c r="BC401" s="25">
        <f t="shared" si="371"/>
        <v>0</v>
      </c>
      <c r="BD401" s="25">
        <f t="shared" si="372"/>
        <v>0</v>
      </c>
      <c r="BE401" s="25">
        <v>0</v>
      </c>
      <c r="BF401" s="25">
        <f>401</f>
        <v>401</v>
      </c>
      <c r="BH401" s="25">
        <f t="shared" si="373"/>
        <v>0</v>
      </c>
      <c r="BI401" s="25">
        <f t="shared" si="374"/>
        <v>0</v>
      </c>
      <c r="BJ401" s="25">
        <f t="shared" si="375"/>
        <v>0</v>
      </c>
      <c r="BK401" s="27" t="s">
        <v>57</v>
      </c>
      <c r="BL401" s="25">
        <v>728</v>
      </c>
      <c r="BW401" s="25">
        <v>21</v>
      </c>
      <c r="BX401" s="5" t="s">
        <v>1217</v>
      </c>
    </row>
    <row r="402" spans="1:76" x14ac:dyDescent="0.25">
      <c r="A402" s="2" t="s">
        <v>1218</v>
      </c>
      <c r="B402" s="3" t="s">
        <v>1219</v>
      </c>
      <c r="C402" s="93" t="s">
        <v>1220</v>
      </c>
      <c r="D402" s="94"/>
      <c r="E402" s="3" t="s">
        <v>131</v>
      </c>
      <c r="F402" s="25">
        <v>155</v>
      </c>
      <c r="G402" s="25">
        <v>0</v>
      </c>
      <c r="H402" s="25">
        <f t="shared" ref="H402:H408" si="376">ROUND(F402*AO402,2)</f>
        <v>0</v>
      </c>
      <c r="I402" s="25">
        <f t="shared" ref="I402:I408" si="377">ROUND(F402*AP402,2)</f>
        <v>0</v>
      </c>
      <c r="J402" s="25">
        <f t="shared" ref="J402:J408" si="378">ROUND(F402*G402,1)</f>
        <v>0</v>
      </c>
      <c r="K402" s="26" t="s">
        <v>53</v>
      </c>
      <c r="Z402" s="25">
        <f t="shared" ref="Z402:Z408" si="379">ROUND(IF(AQ402="5",BJ402,0),2)</f>
        <v>0</v>
      </c>
      <c r="AB402" s="25">
        <f t="shared" ref="AB402:AB408" si="380">ROUND(IF(AQ402="1",BH402,0),2)</f>
        <v>0</v>
      </c>
      <c r="AC402" s="25">
        <f t="shared" ref="AC402:AC408" si="381">ROUND(IF(AQ402="1",BI402,0),2)</f>
        <v>0</v>
      </c>
      <c r="AD402" s="25">
        <f t="shared" ref="AD402:AD408" si="382">ROUND(IF(AQ402="7",BH402,0),2)</f>
        <v>0</v>
      </c>
      <c r="AE402" s="25">
        <f t="shared" ref="AE402:AE408" si="383">ROUND(IF(AQ402="7",BI402,0),2)</f>
        <v>0</v>
      </c>
      <c r="AF402" s="25">
        <f t="shared" ref="AF402:AF408" si="384">ROUND(IF(AQ402="2",BH402,0),2)</f>
        <v>0</v>
      </c>
      <c r="AG402" s="25">
        <f t="shared" ref="AG402:AG408" si="385">ROUND(IF(AQ402="2",BI402,0),2)</f>
        <v>0</v>
      </c>
      <c r="AH402" s="25">
        <f t="shared" ref="AH402:AH408" si="386">ROUND(IF(AQ402="0",BJ402,0),2)</f>
        <v>0</v>
      </c>
      <c r="AI402" s="11" t="s">
        <v>46</v>
      </c>
      <c r="AJ402" s="25">
        <f t="shared" ref="AJ402:AJ408" si="387">IF(AN402=0,J402,0)</f>
        <v>0</v>
      </c>
      <c r="AK402" s="25">
        <f t="shared" ref="AK402:AK408" si="388">IF(AN402=12,J402,0)</f>
        <v>0</v>
      </c>
      <c r="AL402" s="25">
        <f t="shared" ref="AL402:AL408" si="389">IF(AN402=21,J402,0)</f>
        <v>0</v>
      </c>
      <c r="AN402" s="25">
        <v>21</v>
      </c>
      <c r="AO402" s="25">
        <f>G402*0.53000152</f>
        <v>0</v>
      </c>
      <c r="AP402" s="25">
        <f>G402*(1-0.53000152)</f>
        <v>0</v>
      </c>
      <c r="AQ402" s="27" t="s">
        <v>76</v>
      </c>
      <c r="AV402" s="25">
        <f t="shared" ref="AV402:AV408" si="390">ROUND(AW402+AX402,2)</f>
        <v>0</v>
      </c>
      <c r="AW402" s="25">
        <f t="shared" ref="AW402:AW408" si="391">ROUND(F402*AO402,2)</f>
        <v>0</v>
      </c>
      <c r="AX402" s="25">
        <f t="shared" ref="AX402:AX408" si="392">ROUND(F402*AP402,2)</f>
        <v>0</v>
      </c>
      <c r="AY402" s="27" t="s">
        <v>1027</v>
      </c>
      <c r="AZ402" s="27" t="s">
        <v>585</v>
      </c>
      <c r="BA402" s="11" t="s">
        <v>56</v>
      </c>
      <c r="BC402" s="25">
        <f t="shared" ref="BC402:BC408" si="393">AW402+AX402</f>
        <v>0</v>
      </c>
      <c r="BD402" s="25">
        <f t="shared" ref="BD402:BD408" si="394">G402/(100-BE402)*100</f>
        <v>0</v>
      </c>
      <c r="BE402" s="25">
        <v>0</v>
      </c>
      <c r="BF402" s="25">
        <f>402</f>
        <v>402</v>
      </c>
      <c r="BH402" s="25">
        <f t="shared" ref="BH402:BH408" si="395">F402*AO402</f>
        <v>0</v>
      </c>
      <c r="BI402" s="25">
        <f t="shared" ref="BI402:BI408" si="396">F402*AP402</f>
        <v>0</v>
      </c>
      <c r="BJ402" s="25">
        <f t="shared" ref="BJ402:BJ408" si="397">F402*G402</f>
        <v>0</v>
      </c>
      <c r="BK402" s="27" t="s">
        <v>57</v>
      </c>
      <c r="BL402" s="25">
        <v>728</v>
      </c>
      <c r="BW402" s="25">
        <v>21</v>
      </c>
      <c r="BX402" s="5" t="s">
        <v>1220</v>
      </c>
    </row>
    <row r="403" spans="1:76" x14ac:dyDescent="0.25">
      <c r="A403" s="2" t="s">
        <v>1221</v>
      </c>
      <c r="B403" s="3" t="s">
        <v>1222</v>
      </c>
      <c r="C403" s="93" t="s">
        <v>1223</v>
      </c>
      <c r="D403" s="94"/>
      <c r="E403" s="3" t="s">
        <v>131</v>
      </c>
      <c r="F403" s="25">
        <v>7.3</v>
      </c>
      <c r="G403" s="25">
        <v>0</v>
      </c>
      <c r="H403" s="25">
        <f t="shared" si="376"/>
        <v>0</v>
      </c>
      <c r="I403" s="25">
        <f t="shared" si="377"/>
        <v>0</v>
      </c>
      <c r="J403" s="25">
        <f t="shared" si="378"/>
        <v>0</v>
      </c>
      <c r="K403" s="26" t="s">
        <v>53</v>
      </c>
      <c r="Z403" s="25">
        <f t="shared" si="379"/>
        <v>0</v>
      </c>
      <c r="AB403" s="25">
        <f t="shared" si="380"/>
        <v>0</v>
      </c>
      <c r="AC403" s="25">
        <f t="shared" si="381"/>
        <v>0</v>
      </c>
      <c r="AD403" s="25">
        <f t="shared" si="382"/>
        <v>0</v>
      </c>
      <c r="AE403" s="25">
        <f t="shared" si="383"/>
        <v>0</v>
      </c>
      <c r="AF403" s="25">
        <f t="shared" si="384"/>
        <v>0</v>
      </c>
      <c r="AG403" s="25">
        <f t="shared" si="385"/>
        <v>0</v>
      </c>
      <c r="AH403" s="25">
        <f t="shared" si="386"/>
        <v>0</v>
      </c>
      <c r="AI403" s="11" t="s">
        <v>46</v>
      </c>
      <c r="AJ403" s="25">
        <f t="shared" si="387"/>
        <v>0</v>
      </c>
      <c r="AK403" s="25">
        <f t="shared" si="388"/>
        <v>0</v>
      </c>
      <c r="AL403" s="25">
        <f t="shared" si="389"/>
        <v>0</v>
      </c>
      <c r="AN403" s="25">
        <v>21</v>
      </c>
      <c r="AO403" s="25">
        <f>G403*0.530001921</f>
        <v>0</v>
      </c>
      <c r="AP403" s="25">
        <f>G403*(1-0.530001921)</f>
        <v>0</v>
      </c>
      <c r="AQ403" s="27" t="s">
        <v>76</v>
      </c>
      <c r="AV403" s="25">
        <f t="shared" si="390"/>
        <v>0</v>
      </c>
      <c r="AW403" s="25">
        <f t="shared" si="391"/>
        <v>0</v>
      </c>
      <c r="AX403" s="25">
        <f t="shared" si="392"/>
        <v>0</v>
      </c>
      <c r="AY403" s="27" t="s">
        <v>1027</v>
      </c>
      <c r="AZ403" s="27" t="s">
        <v>585</v>
      </c>
      <c r="BA403" s="11" t="s">
        <v>56</v>
      </c>
      <c r="BC403" s="25">
        <f t="shared" si="393"/>
        <v>0</v>
      </c>
      <c r="BD403" s="25">
        <f t="shared" si="394"/>
        <v>0</v>
      </c>
      <c r="BE403" s="25">
        <v>0</v>
      </c>
      <c r="BF403" s="25">
        <f>403</f>
        <v>403</v>
      </c>
      <c r="BH403" s="25">
        <f t="shared" si="395"/>
        <v>0</v>
      </c>
      <c r="BI403" s="25">
        <f t="shared" si="396"/>
        <v>0</v>
      </c>
      <c r="BJ403" s="25">
        <f t="shared" si="397"/>
        <v>0</v>
      </c>
      <c r="BK403" s="27" t="s">
        <v>57</v>
      </c>
      <c r="BL403" s="25">
        <v>728</v>
      </c>
      <c r="BW403" s="25">
        <v>21</v>
      </c>
      <c r="BX403" s="5" t="s">
        <v>1223</v>
      </c>
    </row>
    <row r="404" spans="1:76" x14ac:dyDescent="0.25">
      <c r="A404" s="2" t="s">
        <v>1224</v>
      </c>
      <c r="B404" s="3" t="s">
        <v>1225</v>
      </c>
      <c r="C404" s="93" t="s">
        <v>1226</v>
      </c>
      <c r="D404" s="94"/>
      <c r="E404" s="3" t="s">
        <v>342</v>
      </c>
      <c r="F404" s="25">
        <v>1</v>
      </c>
      <c r="G404" s="25">
        <v>0</v>
      </c>
      <c r="H404" s="25">
        <f t="shared" si="376"/>
        <v>0</v>
      </c>
      <c r="I404" s="25">
        <f t="shared" si="377"/>
        <v>0</v>
      </c>
      <c r="J404" s="25">
        <f t="shared" si="378"/>
        <v>0</v>
      </c>
      <c r="K404" s="26" t="s">
        <v>53</v>
      </c>
      <c r="Z404" s="25">
        <f t="shared" si="379"/>
        <v>0</v>
      </c>
      <c r="AB404" s="25">
        <f t="shared" si="380"/>
        <v>0</v>
      </c>
      <c r="AC404" s="25">
        <f t="shared" si="381"/>
        <v>0</v>
      </c>
      <c r="AD404" s="25">
        <f t="shared" si="382"/>
        <v>0</v>
      </c>
      <c r="AE404" s="25">
        <f t="shared" si="383"/>
        <v>0</v>
      </c>
      <c r="AF404" s="25">
        <f t="shared" si="384"/>
        <v>0</v>
      </c>
      <c r="AG404" s="25">
        <f t="shared" si="385"/>
        <v>0</v>
      </c>
      <c r="AH404" s="25">
        <f t="shared" si="386"/>
        <v>0</v>
      </c>
      <c r="AI404" s="11" t="s">
        <v>46</v>
      </c>
      <c r="AJ404" s="25">
        <f t="shared" si="387"/>
        <v>0</v>
      </c>
      <c r="AK404" s="25">
        <f t="shared" si="388"/>
        <v>0</v>
      </c>
      <c r="AL404" s="25">
        <f t="shared" si="389"/>
        <v>0</v>
      </c>
      <c r="AN404" s="25">
        <v>21</v>
      </c>
      <c r="AO404" s="25">
        <f>G404*1</f>
        <v>0</v>
      </c>
      <c r="AP404" s="25">
        <f>G404*(1-1)</f>
        <v>0</v>
      </c>
      <c r="AQ404" s="27" t="s">
        <v>76</v>
      </c>
      <c r="AV404" s="25">
        <f t="shared" si="390"/>
        <v>0</v>
      </c>
      <c r="AW404" s="25">
        <f t="shared" si="391"/>
        <v>0</v>
      </c>
      <c r="AX404" s="25">
        <f t="shared" si="392"/>
        <v>0</v>
      </c>
      <c r="AY404" s="27" t="s">
        <v>1027</v>
      </c>
      <c r="AZ404" s="27" t="s">
        <v>585</v>
      </c>
      <c r="BA404" s="11" t="s">
        <v>56</v>
      </c>
      <c r="BC404" s="25">
        <f t="shared" si="393"/>
        <v>0</v>
      </c>
      <c r="BD404" s="25">
        <f t="shared" si="394"/>
        <v>0</v>
      </c>
      <c r="BE404" s="25">
        <v>0</v>
      </c>
      <c r="BF404" s="25">
        <f>404</f>
        <v>404</v>
      </c>
      <c r="BH404" s="25">
        <f t="shared" si="395"/>
        <v>0</v>
      </c>
      <c r="BI404" s="25">
        <f t="shared" si="396"/>
        <v>0</v>
      </c>
      <c r="BJ404" s="25">
        <f t="shared" si="397"/>
        <v>0</v>
      </c>
      <c r="BK404" s="27" t="s">
        <v>57</v>
      </c>
      <c r="BL404" s="25">
        <v>728</v>
      </c>
      <c r="BW404" s="25">
        <v>21</v>
      </c>
      <c r="BX404" s="5" t="s">
        <v>1226</v>
      </c>
    </row>
    <row r="405" spans="1:76" x14ac:dyDescent="0.25">
      <c r="A405" s="2" t="s">
        <v>1227</v>
      </c>
      <c r="B405" s="3" t="s">
        <v>1228</v>
      </c>
      <c r="C405" s="93" t="s">
        <v>1229</v>
      </c>
      <c r="D405" s="94"/>
      <c r="E405" s="3" t="s">
        <v>52</v>
      </c>
      <c r="F405" s="25">
        <v>1</v>
      </c>
      <c r="G405" s="25">
        <v>0</v>
      </c>
      <c r="H405" s="25">
        <f t="shared" si="376"/>
        <v>0</v>
      </c>
      <c r="I405" s="25">
        <f t="shared" si="377"/>
        <v>0</v>
      </c>
      <c r="J405" s="25">
        <f t="shared" si="378"/>
        <v>0</v>
      </c>
      <c r="K405" s="26" t="s">
        <v>53</v>
      </c>
      <c r="Z405" s="25">
        <f t="shared" si="379"/>
        <v>0</v>
      </c>
      <c r="AB405" s="25">
        <f t="shared" si="380"/>
        <v>0</v>
      </c>
      <c r="AC405" s="25">
        <f t="shared" si="381"/>
        <v>0</v>
      </c>
      <c r="AD405" s="25">
        <f t="shared" si="382"/>
        <v>0</v>
      </c>
      <c r="AE405" s="25">
        <f t="shared" si="383"/>
        <v>0</v>
      </c>
      <c r="AF405" s="25">
        <f t="shared" si="384"/>
        <v>0</v>
      </c>
      <c r="AG405" s="25">
        <f t="shared" si="385"/>
        <v>0</v>
      </c>
      <c r="AH405" s="25">
        <f t="shared" si="386"/>
        <v>0</v>
      </c>
      <c r="AI405" s="11" t="s">
        <v>46</v>
      </c>
      <c r="AJ405" s="25">
        <f t="shared" si="387"/>
        <v>0</v>
      </c>
      <c r="AK405" s="25">
        <f t="shared" si="388"/>
        <v>0</v>
      </c>
      <c r="AL405" s="25">
        <f t="shared" si="389"/>
        <v>0</v>
      </c>
      <c r="AN405" s="25">
        <v>21</v>
      </c>
      <c r="AO405" s="25">
        <f>G405*0</f>
        <v>0</v>
      </c>
      <c r="AP405" s="25">
        <f>G405*(1-0)</f>
        <v>0</v>
      </c>
      <c r="AQ405" s="27" t="s">
        <v>76</v>
      </c>
      <c r="AV405" s="25">
        <f t="shared" si="390"/>
        <v>0</v>
      </c>
      <c r="AW405" s="25">
        <f t="shared" si="391"/>
        <v>0</v>
      </c>
      <c r="AX405" s="25">
        <f t="shared" si="392"/>
        <v>0</v>
      </c>
      <c r="AY405" s="27" t="s">
        <v>1027</v>
      </c>
      <c r="AZ405" s="27" t="s">
        <v>585</v>
      </c>
      <c r="BA405" s="11" t="s">
        <v>56</v>
      </c>
      <c r="BC405" s="25">
        <f t="shared" si="393"/>
        <v>0</v>
      </c>
      <c r="BD405" s="25">
        <f t="shared" si="394"/>
        <v>0</v>
      </c>
      <c r="BE405" s="25">
        <v>0</v>
      </c>
      <c r="BF405" s="25">
        <f>405</f>
        <v>405</v>
      </c>
      <c r="BH405" s="25">
        <f t="shared" si="395"/>
        <v>0</v>
      </c>
      <c r="BI405" s="25">
        <f t="shared" si="396"/>
        <v>0</v>
      </c>
      <c r="BJ405" s="25">
        <f t="shared" si="397"/>
        <v>0</v>
      </c>
      <c r="BK405" s="27" t="s">
        <v>57</v>
      </c>
      <c r="BL405" s="25">
        <v>728</v>
      </c>
      <c r="BW405" s="25">
        <v>21</v>
      </c>
      <c r="BX405" s="5" t="s">
        <v>1229</v>
      </c>
    </row>
    <row r="406" spans="1:76" x14ac:dyDescent="0.25">
      <c r="A406" s="2" t="s">
        <v>1230</v>
      </c>
      <c r="B406" s="3" t="s">
        <v>1231</v>
      </c>
      <c r="C406" s="93" t="s">
        <v>1232</v>
      </c>
      <c r="D406" s="94"/>
      <c r="E406" s="3" t="s">
        <v>52</v>
      </c>
      <c r="F406" s="25">
        <v>1</v>
      </c>
      <c r="G406" s="25">
        <v>0</v>
      </c>
      <c r="H406" s="25">
        <f t="shared" si="376"/>
        <v>0</v>
      </c>
      <c r="I406" s="25">
        <f t="shared" si="377"/>
        <v>0</v>
      </c>
      <c r="J406" s="25">
        <f t="shared" si="378"/>
        <v>0</v>
      </c>
      <c r="K406" s="26" t="s">
        <v>53</v>
      </c>
      <c r="Z406" s="25">
        <f t="shared" si="379"/>
        <v>0</v>
      </c>
      <c r="AB406" s="25">
        <f t="shared" si="380"/>
        <v>0</v>
      </c>
      <c r="AC406" s="25">
        <f t="shared" si="381"/>
        <v>0</v>
      </c>
      <c r="AD406" s="25">
        <f t="shared" si="382"/>
        <v>0</v>
      </c>
      <c r="AE406" s="25">
        <f t="shared" si="383"/>
        <v>0</v>
      </c>
      <c r="AF406" s="25">
        <f t="shared" si="384"/>
        <v>0</v>
      </c>
      <c r="AG406" s="25">
        <f t="shared" si="385"/>
        <v>0</v>
      </c>
      <c r="AH406" s="25">
        <f t="shared" si="386"/>
        <v>0</v>
      </c>
      <c r="AI406" s="11" t="s">
        <v>46</v>
      </c>
      <c r="AJ406" s="25">
        <f t="shared" si="387"/>
        <v>0</v>
      </c>
      <c r="AK406" s="25">
        <f t="shared" si="388"/>
        <v>0</v>
      </c>
      <c r="AL406" s="25">
        <f t="shared" si="389"/>
        <v>0</v>
      </c>
      <c r="AN406" s="25">
        <v>21</v>
      </c>
      <c r="AO406" s="25">
        <f>G406*0</f>
        <v>0</v>
      </c>
      <c r="AP406" s="25">
        <f>G406*(1-0)</f>
        <v>0</v>
      </c>
      <c r="AQ406" s="27" t="s">
        <v>76</v>
      </c>
      <c r="AV406" s="25">
        <f t="shared" si="390"/>
        <v>0</v>
      </c>
      <c r="AW406" s="25">
        <f t="shared" si="391"/>
        <v>0</v>
      </c>
      <c r="AX406" s="25">
        <f t="shared" si="392"/>
        <v>0</v>
      </c>
      <c r="AY406" s="27" t="s">
        <v>1027</v>
      </c>
      <c r="AZ406" s="27" t="s">
        <v>585</v>
      </c>
      <c r="BA406" s="11" t="s">
        <v>56</v>
      </c>
      <c r="BC406" s="25">
        <f t="shared" si="393"/>
        <v>0</v>
      </c>
      <c r="BD406" s="25">
        <f t="shared" si="394"/>
        <v>0</v>
      </c>
      <c r="BE406" s="25">
        <v>0</v>
      </c>
      <c r="BF406" s="25">
        <f>406</f>
        <v>406</v>
      </c>
      <c r="BH406" s="25">
        <f t="shared" si="395"/>
        <v>0</v>
      </c>
      <c r="BI406" s="25">
        <f t="shared" si="396"/>
        <v>0</v>
      </c>
      <c r="BJ406" s="25">
        <f t="shared" si="397"/>
        <v>0</v>
      </c>
      <c r="BK406" s="27" t="s">
        <v>57</v>
      </c>
      <c r="BL406" s="25">
        <v>728</v>
      </c>
      <c r="BW406" s="25">
        <v>21</v>
      </c>
      <c r="BX406" s="5" t="s">
        <v>1232</v>
      </c>
    </row>
    <row r="407" spans="1:76" x14ac:dyDescent="0.25">
      <c r="A407" s="2" t="s">
        <v>1233</v>
      </c>
      <c r="B407" s="3" t="s">
        <v>1234</v>
      </c>
      <c r="C407" s="93" t="s">
        <v>1235</v>
      </c>
      <c r="D407" s="94"/>
      <c r="E407" s="3" t="s">
        <v>52</v>
      </c>
      <c r="F407" s="25">
        <v>1</v>
      </c>
      <c r="G407" s="25">
        <v>0</v>
      </c>
      <c r="H407" s="25">
        <f t="shared" si="376"/>
        <v>0</v>
      </c>
      <c r="I407" s="25">
        <f t="shared" si="377"/>
        <v>0</v>
      </c>
      <c r="J407" s="25">
        <f t="shared" si="378"/>
        <v>0</v>
      </c>
      <c r="K407" s="26" t="s">
        <v>53</v>
      </c>
      <c r="Z407" s="25">
        <f t="shared" si="379"/>
        <v>0</v>
      </c>
      <c r="AB407" s="25">
        <f t="shared" si="380"/>
        <v>0</v>
      </c>
      <c r="AC407" s="25">
        <f t="shared" si="381"/>
        <v>0</v>
      </c>
      <c r="AD407" s="25">
        <f t="shared" si="382"/>
        <v>0</v>
      </c>
      <c r="AE407" s="25">
        <f t="shared" si="383"/>
        <v>0</v>
      </c>
      <c r="AF407" s="25">
        <f t="shared" si="384"/>
        <v>0</v>
      </c>
      <c r="AG407" s="25">
        <f t="shared" si="385"/>
        <v>0</v>
      </c>
      <c r="AH407" s="25">
        <f t="shared" si="386"/>
        <v>0</v>
      </c>
      <c r="AI407" s="11" t="s">
        <v>46</v>
      </c>
      <c r="AJ407" s="25">
        <f t="shared" si="387"/>
        <v>0</v>
      </c>
      <c r="AK407" s="25">
        <f t="shared" si="388"/>
        <v>0</v>
      </c>
      <c r="AL407" s="25">
        <f t="shared" si="389"/>
        <v>0</v>
      </c>
      <c r="AN407" s="25">
        <v>21</v>
      </c>
      <c r="AO407" s="25">
        <f>G407*0</f>
        <v>0</v>
      </c>
      <c r="AP407" s="25">
        <f>G407*(1-0)</f>
        <v>0</v>
      </c>
      <c r="AQ407" s="27" t="s">
        <v>76</v>
      </c>
      <c r="AV407" s="25">
        <f t="shared" si="390"/>
        <v>0</v>
      </c>
      <c r="AW407" s="25">
        <f t="shared" si="391"/>
        <v>0</v>
      </c>
      <c r="AX407" s="25">
        <f t="shared" si="392"/>
        <v>0</v>
      </c>
      <c r="AY407" s="27" t="s">
        <v>1027</v>
      </c>
      <c r="AZ407" s="27" t="s">
        <v>585</v>
      </c>
      <c r="BA407" s="11" t="s">
        <v>56</v>
      </c>
      <c r="BC407" s="25">
        <f t="shared" si="393"/>
        <v>0</v>
      </c>
      <c r="BD407" s="25">
        <f t="shared" si="394"/>
        <v>0</v>
      </c>
      <c r="BE407" s="25">
        <v>0</v>
      </c>
      <c r="BF407" s="25">
        <f>407</f>
        <v>407</v>
      </c>
      <c r="BH407" s="25">
        <f t="shared" si="395"/>
        <v>0</v>
      </c>
      <c r="BI407" s="25">
        <f t="shared" si="396"/>
        <v>0</v>
      </c>
      <c r="BJ407" s="25">
        <f t="shared" si="397"/>
        <v>0</v>
      </c>
      <c r="BK407" s="27" t="s">
        <v>57</v>
      </c>
      <c r="BL407" s="25">
        <v>728</v>
      </c>
      <c r="BW407" s="25">
        <v>21</v>
      </c>
      <c r="BX407" s="5" t="s">
        <v>1235</v>
      </c>
    </row>
    <row r="408" spans="1:76" x14ac:dyDescent="0.25">
      <c r="A408" s="2" t="s">
        <v>1236</v>
      </c>
      <c r="B408" s="3" t="s">
        <v>1237</v>
      </c>
      <c r="C408" s="93" t="s">
        <v>1238</v>
      </c>
      <c r="D408" s="94"/>
      <c r="E408" s="3" t="s">
        <v>52</v>
      </c>
      <c r="F408" s="25">
        <v>1</v>
      </c>
      <c r="G408" s="25">
        <v>0</v>
      </c>
      <c r="H408" s="25">
        <f t="shared" si="376"/>
        <v>0</v>
      </c>
      <c r="I408" s="25">
        <f t="shared" si="377"/>
        <v>0</v>
      </c>
      <c r="J408" s="25">
        <f t="shared" si="378"/>
        <v>0</v>
      </c>
      <c r="K408" s="26" t="s">
        <v>53</v>
      </c>
      <c r="Z408" s="25">
        <f t="shared" si="379"/>
        <v>0</v>
      </c>
      <c r="AB408" s="25">
        <f t="shared" si="380"/>
        <v>0</v>
      </c>
      <c r="AC408" s="25">
        <f t="shared" si="381"/>
        <v>0</v>
      </c>
      <c r="AD408" s="25">
        <f t="shared" si="382"/>
        <v>0</v>
      </c>
      <c r="AE408" s="25">
        <f t="shared" si="383"/>
        <v>0</v>
      </c>
      <c r="AF408" s="25">
        <f t="shared" si="384"/>
        <v>0</v>
      </c>
      <c r="AG408" s="25">
        <f t="shared" si="385"/>
        <v>0</v>
      </c>
      <c r="AH408" s="25">
        <f t="shared" si="386"/>
        <v>0</v>
      </c>
      <c r="AI408" s="11" t="s">
        <v>46</v>
      </c>
      <c r="AJ408" s="25">
        <f t="shared" si="387"/>
        <v>0</v>
      </c>
      <c r="AK408" s="25">
        <f t="shared" si="388"/>
        <v>0</v>
      </c>
      <c r="AL408" s="25">
        <f t="shared" si="389"/>
        <v>0</v>
      </c>
      <c r="AN408" s="25">
        <v>21</v>
      </c>
      <c r="AO408" s="25">
        <f>G408*0</f>
        <v>0</v>
      </c>
      <c r="AP408" s="25">
        <f>G408*(1-0)</f>
        <v>0</v>
      </c>
      <c r="AQ408" s="27" t="s">
        <v>76</v>
      </c>
      <c r="AV408" s="25">
        <f t="shared" si="390"/>
        <v>0</v>
      </c>
      <c r="AW408" s="25">
        <f t="shared" si="391"/>
        <v>0</v>
      </c>
      <c r="AX408" s="25">
        <f t="shared" si="392"/>
        <v>0</v>
      </c>
      <c r="AY408" s="27" t="s">
        <v>1027</v>
      </c>
      <c r="AZ408" s="27" t="s">
        <v>585</v>
      </c>
      <c r="BA408" s="11" t="s">
        <v>56</v>
      </c>
      <c r="BC408" s="25">
        <f t="shared" si="393"/>
        <v>0</v>
      </c>
      <c r="BD408" s="25">
        <f t="shared" si="394"/>
        <v>0</v>
      </c>
      <c r="BE408" s="25">
        <v>0</v>
      </c>
      <c r="BF408" s="25">
        <f>408</f>
        <v>408</v>
      </c>
      <c r="BH408" s="25">
        <f t="shared" si="395"/>
        <v>0</v>
      </c>
      <c r="BI408" s="25">
        <f t="shared" si="396"/>
        <v>0</v>
      </c>
      <c r="BJ408" s="25">
        <f t="shared" si="397"/>
        <v>0</v>
      </c>
      <c r="BK408" s="27" t="s">
        <v>57</v>
      </c>
      <c r="BL408" s="25">
        <v>728</v>
      </c>
      <c r="BW408" s="25">
        <v>21</v>
      </c>
      <c r="BX408" s="5" t="s">
        <v>1238</v>
      </c>
    </row>
    <row r="409" spans="1:76" x14ac:dyDescent="0.25">
      <c r="A409" s="28" t="s">
        <v>46</v>
      </c>
      <c r="B409" s="29" t="s">
        <v>1239</v>
      </c>
      <c r="C409" s="150" t="s">
        <v>1240</v>
      </c>
      <c r="D409" s="151"/>
      <c r="E409" s="30" t="s">
        <v>4</v>
      </c>
      <c r="F409" s="30" t="s">
        <v>4</v>
      </c>
      <c r="G409" s="30" t="s">
        <v>4</v>
      </c>
      <c r="H409" s="1">
        <f>ROUND(SUM(H410:H470),1)</f>
        <v>0</v>
      </c>
      <c r="I409" s="1">
        <f>ROUND(SUM(I410:I470),1)</f>
        <v>0</v>
      </c>
      <c r="J409" s="1">
        <f>ROUND(SUM(J410:J470),1)</f>
        <v>0</v>
      </c>
      <c r="K409" s="31" t="s">
        <v>46</v>
      </c>
      <c r="AI409" s="11" t="s">
        <v>46</v>
      </c>
      <c r="AS409" s="1">
        <f>SUM(AJ410:AJ470)</f>
        <v>0</v>
      </c>
      <c r="AT409" s="1">
        <f>SUM(AK410:AK470)</f>
        <v>0</v>
      </c>
      <c r="AU409" s="1">
        <f>SUM(AL410:AL470)</f>
        <v>0</v>
      </c>
    </row>
    <row r="410" spans="1:76" ht="25.5" x14ac:dyDescent="0.25">
      <c r="A410" s="2" t="s">
        <v>1241</v>
      </c>
      <c r="B410" s="3" t="s">
        <v>1242</v>
      </c>
      <c r="C410" s="93" t="s">
        <v>1243</v>
      </c>
      <c r="D410" s="94"/>
      <c r="E410" s="3" t="s">
        <v>131</v>
      </c>
      <c r="F410" s="25">
        <v>98.9</v>
      </c>
      <c r="G410" s="25">
        <v>0</v>
      </c>
      <c r="H410" s="25">
        <f t="shared" ref="H410:H441" si="398">ROUND(F410*AO410,2)</f>
        <v>0</v>
      </c>
      <c r="I410" s="25">
        <f t="shared" ref="I410:I441" si="399">ROUND(F410*AP410,2)</f>
        <v>0</v>
      </c>
      <c r="J410" s="25">
        <f t="shared" ref="J410:J441" si="400">ROUND(F410*G410,1)</f>
        <v>0</v>
      </c>
      <c r="K410" s="26" t="s">
        <v>53</v>
      </c>
      <c r="Z410" s="25">
        <f t="shared" ref="Z410:Z441" si="401">ROUND(IF(AQ410="5",BJ410,0),2)</f>
        <v>0</v>
      </c>
      <c r="AB410" s="25">
        <f t="shared" ref="AB410:AB441" si="402">ROUND(IF(AQ410="1",BH410,0),2)</f>
        <v>0</v>
      </c>
      <c r="AC410" s="25">
        <f t="shared" ref="AC410:AC441" si="403">ROUND(IF(AQ410="1",BI410,0),2)</f>
        <v>0</v>
      </c>
      <c r="AD410" s="25">
        <f t="shared" ref="AD410:AD441" si="404">ROUND(IF(AQ410="7",BH410,0),2)</f>
        <v>0</v>
      </c>
      <c r="AE410" s="25">
        <f t="shared" ref="AE410:AE441" si="405">ROUND(IF(AQ410="7",BI410,0),2)</f>
        <v>0</v>
      </c>
      <c r="AF410" s="25">
        <f t="shared" ref="AF410:AF441" si="406">ROUND(IF(AQ410="2",BH410,0),2)</f>
        <v>0</v>
      </c>
      <c r="AG410" s="25">
        <f t="shared" ref="AG410:AG441" si="407">ROUND(IF(AQ410="2",BI410,0),2)</f>
        <v>0</v>
      </c>
      <c r="AH410" s="25">
        <f t="shared" ref="AH410:AH441" si="408">ROUND(IF(AQ410="0",BJ410,0),2)</f>
        <v>0</v>
      </c>
      <c r="AI410" s="11" t="s">
        <v>46</v>
      </c>
      <c r="AJ410" s="25">
        <f t="shared" ref="AJ410:AJ441" si="409">IF(AN410=0,J410,0)</f>
        <v>0</v>
      </c>
      <c r="AK410" s="25">
        <f t="shared" ref="AK410:AK441" si="410">IF(AN410=12,J410,0)</f>
        <v>0</v>
      </c>
      <c r="AL410" s="25">
        <f t="shared" ref="AL410:AL441" si="411">IF(AN410=21,J410,0)</f>
        <v>0</v>
      </c>
      <c r="AN410" s="25">
        <v>21</v>
      </c>
      <c r="AO410" s="25">
        <f>G410*0</f>
        <v>0</v>
      </c>
      <c r="AP410" s="25">
        <f>G410*(1-0)</f>
        <v>0</v>
      </c>
      <c r="AQ410" s="27" t="s">
        <v>76</v>
      </c>
      <c r="AV410" s="25">
        <f t="shared" ref="AV410:AV441" si="412">ROUND(AW410+AX410,2)</f>
        <v>0</v>
      </c>
      <c r="AW410" s="25">
        <f t="shared" ref="AW410:AW441" si="413">ROUND(F410*AO410,2)</f>
        <v>0</v>
      </c>
      <c r="AX410" s="25">
        <f t="shared" ref="AX410:AX441" si="414">ROUND(F410*AP410,2)</f>
        <v>0</v>
      </c>
      <c r="AY410" s="27" t="s">
        <v>1244</v>
      </c>
      <c r="AZ410" s="27" t="s">
        <v>1245</v>
      </c>
      <c r="BA410" s="11" t="s">
        <v>56</v>
      </c>
      <c r="BC410" s="25">
        <f t="shared" ref="BC410:BC441" si="415">AW410+AX410</f>
        <v>0</v>
      </c>
      <c r="BD410" s="25">
        <f t="shared" ref="BD410:BD441" si="416">G410/(100-BE410)*100</f>
        <v>0</v>
      </c>
      <c r="BE410" s="25">
        <v>0</v>
      </c>
      <c r="BF410" s="25">
        <f>410</f>
        <v>410</v>
      </c>
      <c r="BH410" s="25">
        <f t="shared" ref="BH410:BH441" si="417">F410*AO410</f>
        <v>0</v>
      </c>
      <c r="BI410" s="25">
        <f t="shared" ref="BI410:BI441" si="418">F410*AP410</f>
        <v>0</v>
      </c>
      <c r="BJ410" s="25">
        <f t="shared" ref="BJ410:BJ441" si="419">F410*G410</f>
        <v>0</v>
      </c>
      <c r="BK410" s="27" t="s">
        <v>57</v>
      </c>
      <c r="BL410" s="25">
        <v>731</v>
      </c>
      <c r="BW410" s="25">
        <v>21</v>
      </c>
      <c r="BX410" s="5" t="s">
        <v>1243</v>
      </c>
    </row>
    <row r="411" spans="1:76" ht="25.5" x14ac:dyDescent="0.25">
      <c r="A411" s="2" t="s">
        <v>1246</v>
      </c>
      <c r="B411" s="3" t="s">
        <v>1247</v>
      </c>
      <c r="C411" s="93" t="s">
        <v>1248</v>
      </c>
      <c r="D411" s="94"/>
      <c r="E411" s="3" t="s">
        <v>52</v>
      </c>
      <c r="F411" s="25">
        <v>24</v>
      </c>
      <c r="G411" s="25">
        <v>0</v>
      </c>
      <c r="H411" s="25">
        <f t="shared" si="398"/>
        <v>0</v>
      </c>
      <c r="I411" s="25">
        <f t="shared" si="399"/>
        <v>0</v>
      </c>
      <c r="J411" s="25">
        <f t="shared" si="400"/>
        <v>0</v>
      </c>
      <c r="K411" s="26" t="s">
        <v>53</v>
      </c>
      <c r="Z411" s="25">
        <f t="shared" si="401"/>
        <v>0</v>
      </c>
      <c r="AB411" s="25">
        <f t="shared" si="402"/>
        <v>0</v>
      </c>
      <c r="AC411" s="25">
        <f t="shared" si="403"/>
        <v>0</v>
      </c>
      <c r="AD411" s="25">
        <f t="shared" si="404"/>
        <v>0</v>
      </c>
      <c r="AE411" s="25">
        <f t="shared" si="405"/>
        <v>0</v>
      </c>
      <c r="AF411" s="25">
        <f t="shared" si="406"/>
        <v>0</v>
      </c>
      <c r="AG411" s="25">
        <f t="shared" si="407"/>
        <v>0</v>
      </c>
      <c r="AH411" s="25">
        <f t="shared" si="408"/>
        <v>0</v>
      </c>
      <c r="AI411" s="11" t="s">
        <v>46</v>
      </c>
      <c r="AJ411" s="25">
        <f t="shared" si="409"/>
        <v>0</v>
      </c>
      <c r="AK411" s="25">
        <f t="shared" si="410"/>
        <v>0</v>
      </c>
      <c r="AL411" s="25">
        <f t="shared" si="411"/>
        <v>0</v>
      </c>
      <c r="AN411" s="25">
        <v>21</v>
      </c>
      <c r="AO411" s="25">
        <f>G411*0</f>
        <v>0</v>
      </c>
      <c r="AP411" s="25">
        <f>G411*(1-0)</f>
        <v>0</v>
      </c>
      <c r="AQ411" s="27" t="s">
        <v>76</v>
      </c>
      <c r="AV411" s="25">
        <f t="shared" si="412"/>
        <v>0</v>
      </c>
      <c r="AW411" s="25">
        <f t="shared" si="413"/>
        <v>0</v>
      </c>
      <c r="AX411" s="25">
        <f t="shared" si="414"/>
        <v>0</v>
      </c>
      <c r="AY411" s="27" t="s">
        <v>1244</v>
      </c>
      <c r="AZ411" s="27" t="s">
        <v>1245</v>
      </c>
      <c r="BA411" s="11" t="s">
        <v>56</v>
      </c>
      <c r="BC411" s="25">
        <f t="shared" si="415"/>
        <v>0</v>
      </c>
      <c r="BD411" s="25">
        <f t="shared" si="416"/>
        <v>0</v>
      </c>
      <c r="BE411" s="25">
        <v>0</v>
      </c>
      <c r="BF411" s="25">
        <f>411</f>
        <v>411</v>
      </c>
      <c r="BH411" s="25">
        <f t="shared" si="417"/>
        <v>0</v>
      </c>
      <c r="BI411" s="25">
        <f t="shared" si="418"/>
        <v>0</v>
      </c>
      <c r="BJ411" s="25">
        <f t="shared" si="419"/>
        <v>0</v>
      </c>
      <c r="BK411" s="27" t="s">
        <v>57</v>
      </c>
      <c r="BL411" s="25">
        <v>731</v>
      </c>
      <c r="BW411" s="25">
        <v>21</v>
      </c>
      <c r="BX411" s="5" t="s">
        <v>1248</v>
      </c>
    </row>
    <row r="412" spans="1:76" x14ac:dyDescent="0.25">
      <c r="A412" s="2" t="s">
        <v>1249</v>
      </c>
      <c r="B412" s="3" t="s">
        <v>1250</v>
      </c>
      <c r="C412" s="93" t="s">
        <v>1251</v>
      </c>
      <c r="D412" s="94"/>
      <c r="E412" s="3" t="s">
        <v>131</v>
      </c>
      <c r="F412" s="25">
        <v>280.8</v>
      </c>
      <c r="G412" s="25">
        <v>0</v>
      </c>
      <c r="H412" s="25">
        <f t="shared" si="398"/>
        <v>0</v>
      </c>
      <c r="I412" s="25">
        <f t="shared" si="399"/>
        <v>0</v>
      </c>
      <c r="J412" s="25">
        <f t="shared" si="400"/>
        <v>0</v>
      </c>
      <c r="K412" s="26" t="s">
        <v>53</v>
      </c>
      <c r="Z412" s="25">
        <f t="shared" si="401"/>
        <v>0</v>
      </c>
      <c r="AB412" s="25">
        <f t="shared" si="402"/>
        <v>0</v>
      </c>
      <c r="AC412" s="25">
        <f t="shared" si="403"/>
        <v>0</v>
      </c>
      <c r="AD412" s="25">
        <f t="shared" si="404"/>
        <v>0</v>
      </c>
      <c r="AE412" s="25">
        <f t="shared" si="405"/>
        <v>0</v>
      </c>
      <c r="AF412" s="25">
        <f t="shared" si="406"/>
        <v>0</v>
      </c>
      <c r="AG412" s="25">
        <f t="shared" si="407"/>
        <v>0</v>
      </c>
      <c r="AH412" s="25">
        <f t="shared" si="408"/>
        <v>0</v>
      </c>
      <c r="AI412" s="11" t="s">
        <v>46</v>
      </c>
      <c r="AJ412" s="25">
        <f t="shared" si="409"/>
        <v>0</v>
      </c>
      <c r="AK412" s="25">
        <f t="shared" si="410"/>
        <v>0</v>
      </c>
      <c r="AL412" s="25">
        <f t="shared" si="411"/>
        <v>0</v>
      </c>
      <c r="AN412" s="25">
        <v>21</v>
      </c>
      <c r="AO412" s="25">
        <f t="shared" ref="AO412:AO446" si="420">G412*0.55</f>
        <v>0</v>
      </c>
      <c r="AP412" s="25">
        <f t="shared" ref="AP412:AP446" si="421">G412*(1-0.55)</f>
        <v>0</v>
      </c>
      <c r="AQ412" s="27" t="s">
        <v>76</v>
      </c>
      <c r="AV412" s="25">
        <f t="shared" si="412"/>
        <v>0</v>
      </c>
      <c r="AW412" s="25">
        <f t="shared" si="413"/>
        <v>0</v>
      </c>
      <c r="AX412" s="25">
        <f t="shared" si="414"/>
        <v>0</v>
      </c>
      <c r="AY412" s="27" t="s">
        <v>1244</v>
      </c>
      <c r="AZ412" s="27" t="s">
        <v>1245</v>
      </c>
      <c r="BA412" s="11" t="s">
        <v>56</v>
      </c>
      <c r="BC412" s="25">
        <f t="shared" si="415"/>
        <v>0</v>
      </c>
      <c r="BD412" s="25">
        <f t="shared" si="416"/>
        <v>0</v>
      </c>
      <c r="BE412" s="25">
        <v>0</v>
      </c>
      <c r="BF412" s="25">
        <f>412</f>
        <v>412</v>
      </c>
      <c r="BH412" s="25">
        <f t="shared" si="417"/>
        <v>0</v>
      </c>
      <c r="BI412" s="25">
        <f t="shared" si="418"/>
        <v>0</v>
      </c>
      <c r="BJ412" s="25">
        <f t="shared" si="419"/>
        <v>0</v>
      </c>
      <c r="BK412" s="27" t="s">
        <v>57</v>
      </c>
      <c r="BL412" s="25">
        <v>731</v>
      </c>
      <c r="BW412" s="25">
        <v>21</v>
      </c>
      <c r="BX412" s="5" t="s">
        <v>1251</v>
      </c>
    </row>
    <row r="413" spans="1:76" x14ac:dyDescent="0.25">
      <c r="A413" s="2" t="s">
        <v>1252</v>
      </c>
      <c r="B413" s="3" t="s">
        <v>1253</v>
      </c>
      <c r="C413" s="93" t="s">
        <v>1254</v>
      </c>
      <c r="D413" s="94"/>
      <c r="E413" s="3" t="s">
        <v>131</v>
      </c>
      <c r="F413" s="25">
        <v>59</v>
      </c>
      <c r="G413" s="25">
        <v>0</v>
      </c>
      <c r="H413" s="25">
        <f t="shared" si="398"/>
        <v>0</v>
      </c>
      <c r="I413" s="25">
        <f t="shared" si="399"/>
        <v>0</v>
      </c>
      <c r="J413" s="25">
        <f t="shared" si="400"/>
        <v>0</v>
      </c>
      <c r="K413" s="26" t="s">
        <v>53</v>
      </c>
      <c r="Z413" s="25">
        <f t="shared" si="401"/>
        <v>0</v>
      </c>
      <c r="AB413" s="25">
        <f t="shared" si="402"/>
        <v>0</v>
      </c>
      <c r="AC413" s="25">
        <f t="shared" si="403"/>
        <v>0</v>
      </c>
      <c r="AD413" s="25">
        <f t="shared" si="404"/>
        <v>0</v>
      </c>
      <c r="AE413" s="25">
        <f t="shared" si="405"/>
        <v>0</v>
      </c>
      <c r="AF413" s="25">
        <f t="shared" si="406"/>
        <v>0</v>
      </c>
      <c r="AG413" s="25">
        <f t="shared" si="407"/>
        <v>0</v>
      </c>
      <c r="AH413" s="25">
        <f t="shared" si="408"/>
        <v>0</v>
      </c>
      <c r="AI413" s="11" t="s">
        <v>46</v>
      </c>
      <c r="AJ413" s="25">
        <f t="shared" si="409"/>
        <v>0</v>
      </c>
      <c r="AK413" s="25">
        <f t="shared" si="410"/>
        <v>0</v>
      </c>
      <c r="AL413" s="25">
        <f t="shared" si="411"/>
        <v>0</v>
      </c>
      <c r="AN413" s="25">
        <v>21</v>
      </c>
      <c r="AO413" s="25">
        <f t="shared" si="420"/>
        <v>0</v>
      </c>
      <c r="AP413" s="25">
        <f t="shared" si="421"/>
        <v>0</v>
      </c>
      <c r="AQ413" s="27" t="s">
        <v>76</v>
      </c>
      <c r="AV413" s="25">
        <f t="shared" si="412"/>
        <v>0</v>
      </c>
      <c r="AW413" s="25">
        <f t="shared" si="413"/>
        <v>0</v>
      </c>
      <c r="AX413" s="25">
        <f t="shared" si="414"/>
        <v>0</v>
      </c>
      <c r="AY413" s="27" t="s">
        <v>1244</v>
      </c>
      <c r="AZ413" s="27" t="s">
        <v>1245</v>
      </c>
      <c r="BA413" s="11" t="s">
        <v>56</v>
      </c>
      <c r="BC413" s="25">
        <f t="shared" si="415"/>
        <v>0</v>
      </c>
      <c r="BD413" s="25">
        <f t="shared" si="416"/>
        <v>0</v>
      </c>
      <c r="BE413" s="25">
        <v>0</v>
      </c>
      <c r="BF413" s="25">
        <f>413</f>
        <v>413</v>
      </c>
      <c r="BH413" s="25">
        <f t="shared" si="417"/>
        <v>0</v>
      </c>
      <c r="BI413" s="25">
        <f t="shared" si="418"/>
        <v>0</v>
      </c>
      <c r="BJ413" s="25">
        <f t="shared" si="419"/>
        <v>0</v>
      </c>
      <c r="BK413" s="27" t="s">
        <v>57</v>
      </c>
      <c r="BL413" s="25">
        <v>731</v>
      </c>
      <c r="BW413" s="25">
        <v>21</v>
      </c>
      <c r="BX413" s="5" t="s">
        <v>1254</v>
      </c>
    </row>
    <row r="414" spans="1:76" x14ac:dyDescent="0.25">
      <c r="A414" s="2" t="s">
        <v>1255</v>
      </c>
      <c r="B414" s="3" t="s">
        <v>1256</v>
      </c>
      <c r="C414" s="93" t="s">
        <v>1257</v>
      </c>
      <c r="D414" s="94"/>
      <c r="E414" s="3" t="s">
        <v>131</v>
      </c>
      <c r="F414" s="25">
        <v>180</v>
      </c>
      <c r="G414" s="25">
        <v>0</v>
      </c>
      <c r="H414" s="25">
        <f t="shared" si="398"/>
        <v>0</v>
      </c>
      <c r="I414" s="25">
        <f t="shared" si="399"/>
        <v>0</v>
      </c>
      <c r="J414" s="25">
        <f t="shared" si="400"/>
        <v>0</v>
      </c>
      <c r="K414" s="26" t="s">
        <v>53</v>
      </c>
      <c r="Z414" s="25">
        <f t="shared" si="401"/>
        <v>0</v>
      </c>
      <c r="AB414" s="25">
        <f t="shared" si="402"/>
        <v>0</v>
      </c>
      <c r="AC414" s="25">
        <f t="shared" si="403"/>
        <v>0</v>
      </c>
      <c r="AD414" s="25">
        <f t="shared" si="404"/>
        <v>0</v>
      </c>
      <c r="AE414" s="25">
        <f t="shared" si="405"/>
        <v>0</v>
      </c>
      <c r="AF414" s="25">
        <f t="shared" si="406"/>
        <v>0</v>
      </c>
      <c r="AG414" s="25">
        <f t="shared" si="407"/>
        <v>0</v>
      </c>
      <c r="AH414" s="25">
        <f t="shared" si="408"/>
        <v>0</v>
      </c>
      <c r="AI414" s="11" t="s">
        <v>46</v>
      </c>
      <c r="AJ414" s="25">
        <f t="shared" si="409"/>
        <v>0</v>
      </c>
      <c r="AK414" s="25">
        <f t="shared" si="410"/>
        <v>0</v>
      </c>
      <c r="AL414" s="25">
        <f t="shared" si="411"/>
        <v>0</v>
      </c>
      <c r="AN414" s="25">
        <v>21</v>
      </c>
      <c r="AO414" s="25">
        <f t="shared" si="420"/>
        <v>0</v>
      </c>
      <c r="AP414" s="25">
        <f t="shared" si="421"/>
        <v>0</v>
      </c>
      <c r="AQ414" s="27" t="s">
        <v>76</v>
      </c>
      <c r="AV414" s="25">
        <f t="shared" si="412"/>
        <v>0</v>
      </c>
      <c r="AW414" s="25">
        <f t="shared" si="413"/>
        <v>0</v>
      </c>
      <c r="AX414" s="25">
        <f t="shared" si="414"/>
        <v>0</v>
      </c>
      <c r="AY414" s="27" t="s">
        <v>1244</v>
      </c>
      <c r="AZ414" s="27" t="s">
        <v>1245</v>
      </c>
      <c r="BA414" s="11" t="s">
        <v>56</v>
      </c>
      <c r="BC414" s="25">
        <f t="shared" si="415"/>
        <v>0</v>
      </c>
      <c r="BD414" s="25">
        <f t="shared" si="416"/>
        <v>0</v>
      </c>
      <c r="BE414" s="25">
        <v>0</v>
      </c>
      <c r="BF414" s="25">
        <f>414</f>
        <v>414</v>
      </c>
      <c r="BH414" s="25">
        <f t="shared" si="417"/>
        <v>0</v>
      </c>
      <c r="BI414" s="25">
        <f t="shared" si="418"/>
        <v>0</v>
      </c>
      <c r="BJ414" s="25">
        <f t="shared" si="419"/>
        <v>0</v>
      </c>
      <c r="BK414" s="27" t="s">
        <v>57</v>
      </c>
      <c r="BL414" s="25">
        <v>731</v>
      </c>
      <c r="BW414" s="25">
        <v>21</v>
      </c>
      <c r="BX414" s="5" t="s">
        <v>1257</v>
      </c>
    </row>
    <row r="415" spans="1:76" x14ac:dyDescent="0.25">
      <c r="A415" s="2" t="s">
        <v>1258</v>
      </c>
      <c r="B415" s="3" t="s">
        <v>1259</v>
      </c>
      <c r="C415" s="93" t="s">
        <v>1260</v>
      </c>
      <c r="D415" s="94"/>
      <c r="E415" s="3" t="s">
        <v>52</v>
      </c>
      <c r="F415" s="25">
        <v>1</v>
      </c>
      <c r="G415" s="25">
        <v>0</v>
      </c>
      <c r="H415" s="25">
        <f t="shared" si="398"/>
        <v>0</v>
      </c>
      <c r="I415" s="25">
        <f t="shared" si="399"/>
        <v>0</v>
      </c>
      <c r="J415" s="25">
        <f t="shared" si="400"/>
        <v>0</v>
      </c>
      <c r="K415" s="26" t="s">
        <v>53</v>
      </c>
      <c r="Z415" s="25">
        <f t="shared" si="401"/>
        <v>0</v>
      </c>
      <c r="AB415" s="25">
        <f t="shared" si="402"/>
        <v>0</v>
      </c>
      <c r="AC415" s="25">
        <f t="shared" si="403"/>
        <v>0</v>
      </c>
      <c r="AD415" s="25">
        <f t="shared" si="404"/>
        <v>0</v>
      </c>
      <c r="AE415" s="25">
        <f t="shared" si="405"/>
        <v>0</v>
      </c>
      <c r="AF415" s="25">
        <f t="shared" si="406"/>
        <v>0</v>
      </c>
      <c r="AG415" s="25">
        <f t="shared" si="407"/>
        <v>0</v>
      </c>
      <c r="AH415" s="25">
        <f t="shared" si="408"/>
        <v>0</v>
      </c>
      <c r="AI415" s="11" t="s">
        <v>46</v>
      </c>
      <c r="AJ415" s="25">
        <f t="shared" si="409"/>
        <v>0</v>
      </c>
      <c r="AK415" s="25">
        <f t="shared" si="410"/>
        <v>0</v>
      </c>
      <c r="AL415" s="25">
        <f t="shared" si="411"/>
        <v>0</v>
      </c>
      <c r="AN415" s="25">
        <v>21</v>
      </c>
      <c r="AO415" s="25">
        <f t="shared" si="420"/>
        <v>0</v>
      </c>
      <c r="AP415" s="25">
        <f t="shared" si="421"/>
        <v>0</v>
      </c>
      <c r="AQ415" s="27" t="s">
        <v>76</v>
      </c>
      <c r="AV415" s="25">
        <f t="shared" si="412"/>
        <v>0</v>
      </c>
      <c r="AW415" s="25">
        <f t="shared" si="413"/>
        <v>0</v>
      </c>
      <c r="AX415" s="25">
        <f t="shared" si="414"/>
        <v>0</v>
      </c>
      <c r="AY415" s="27" t="s">
        <v>1244</v>
      </c>
      <c r="AZ415" s="27" t="s">
        <v>1245</v>
      </c>
      <c r="BA415" s="11" t="s">
        <v>56</v>
      </c>
      <c r="BC415" s="25">
        <f t="shared" si="415"/>
        <v>0</v>
      </c>
      <c r="BD415" s="25">
        <f t="shared" si="416"/>
        <v>0</v>
      </c>
      <c r="BE415" s="25">
        <v>0</v>
      </c>
      <c r="BF415" s="25">
        <f>415</f>
        <v>415</v>
      </c>
      <c r="BH415" s="25">
        <f t="shared" si="417"/>
        <v>0</v>
      </c>
      <c r="BI415" s="25">
        <f t="shared" si="418"/>
        <v>0</v>
      </c>
      <c r="BJ415" s="25">
        <f t="shared" si="419"/>
        <v>0</v>
      </c>
      <c r="BK415" s="27" t="s">
        <v>57</v>
      </c>
      <c r="BL415" s="25">
        <v>731</v>
      </c>
      <c r="BW415" s="25">
        <v>21</v>
      </c>
      <c r="BX415" s="5" t="s">
        <v>1260</v>
      </c>
    </row>
    <row r="416" spans="1:76" x14ac:dyDescent="0.25">
      <c r="A416" s="2" t="s">
        <v>1261</v>
      </c>
      <c r="B416" s="3" t="s">
        <v>1262</v>
      </c>
      <c r="C416" s="93" t="s">
        <v>1263</v>
      </c>
      <c r="D416" s="94"/>
      <c r="E416" s="3" t="s">
        <v>52</v>
      </c>
      <c r="F416" s="25">
        <v>1</v>
      </c>
      <c r="G416" s="25">
        <v>0</v>
      </c>
      <c r="H416" s="25">
        <f t="shared" si="398"/>
        <v>0</v>
      </c>
      <c r="I416" s="25">
        <f t="shared" si="399"/>
        <v>0</v>
      </c>
      <c r="J416" s="25">
        <f t="shared" si="400"/>
        <v>0</v>
      </c>
      <c r="K416" s="26" t="s">
        <v>53</v>
      </c>
      <c r="Z416" s="25">
        <f t="shared" si="401"/>
        <v>0</v>
      </c>
      <c r="AB416" s="25">
        <f t="shared" si="402"/>
        <v>0</v>
      </c>
      <c r="AC416" s="25">
        <f t="shared" si="403"/>
        <v>0</v>
      </c>
      <c r="AD416" s="25">
        <f t="shared" si="404"/>
        <v>0</v>
      </c>
      <c r="AE416" s="25">
        <f t="shared" si="405"/>
        <v>0</v>
      </c>
      <c r="AF416" s="25">
        <f t="shared" si="406"/>
        <v>0</v>
      </c>
      <c r="AG416" s="25">
        <f t="shared" si="407"/>
        <v>0</v>
      </c>
      <c r="AH416" s="25">
        <f t="shared" si="408"/>
        <v>0</v>
      </c>
      <c r="AI416" s="11" t="s">
        <v>46</v>
      </c>
      <c r="AJ416" s="25">
        <f t="shared" si="409"/>
        <v>0</v>
      </c>
      <c r="AK416" s="25">
        <f t="shared" si="410"/>
        <v>0</v>
      </c>
      <c r="AL416" s="25">
        <f t="shared" si="411"/>
        <v>0</v>
      </c>
      <c r="AN416" s="25">
        <v>21</v>
      </c>
      <c r="AO416" s="25">
        <f t="shared" si="420"/>
        <v>0</v>
      </c>
      <c r="AP416" s="25">
        <f t="shared" si="421"/>
        <v>0</v>
      </c>
      <c r="AQ416" s="27" t="s">
        <v>76</v>
      </c>
      <c r="AV416" s="25">
        <f t="shared" si="412"/>
        <v>0</v>
      </c>
      <c r="AW416" s="25">
        <f t="shared" si="413"/>
        <v>0</v>
      </c>
      <c r="AX416" s="25">
        <f t="shared" si="414"/>
        <v>0</v>
      </c>
      <c r="AY416" s="27" t="s">
        <v>1244</v>
      </c>
      <c r="AZ416" s="27" t="s">
        <v>1245</v>
      </c>
      <c r="BA416" s="11" t="s">
        <v>56</v>
      </c>
      <c r="BC416" s="25">
        <f t="shared" si="415"/>
        <v>0</v>
      </c>
      <c r="BD416" s="25">
        <f t="shared" si="416"/>
        <v>0</v>
      </c>
      <c r="BE416" s="25">
        <v>0</v>
      </c>
      <c r="BF416" s="25">
        <f>416</f>
        <v>416</v>
      </c>
      <c r="BH416" s="25">
        <f t="shared" si="417"/>
        <v>0</v>
      </c>
      <c r="BI416" s="25">
        <f t="shared" si="418"/>
        <v>0</v>
      </c>
      <c r="BJ416" s="25">
        <f t="shared" si="419"/>
        <v>0</v>
      </c>
      <c r="BK416" s="27" t="s">
        <v>57</v>
      </c>
      <c r="BL416" s="25">
        <v>731</v>
      </c>
      <c r="BW416" s="25">
        <v>21</v>
      </c>
      <c r="BX416" s="5" t="s">
        <v>1263</v>
      </c>
    </row>
    <row r="417" spans="1:76" x14ac:dyDescent="0.25">
      <c r="A417" s="2" t="s">
        <v>1264</v>
      </c>
      <c r="B417" s="3" t="s">
        <v>1265</v>
      </c>
      <c r="C417" s="93" t="s">
        <v>1266</v>
      </c>
      <c r="D417" s="94"/>
      <c r="E417" s="3" t="s">
        <v>52</v>
      </c>
      <c r="F417" s="25">
        <v>2</v>
      </c>
      <c r="G417" s="25">
        <v>0</v>
      </c>
      <c r="H417" s="25">
        <f t="shared" si="398"/>
        <v>0</v>
      </c>
      <c r="I417" s="25">
        <f t="shared" si="399"/>
        <v>0</v>
      </c>
      <c r="J417" s="25">
        <f t="shared" si="400"/>
        <v>0</v>
      </c>
      <c r="K417" s="26" t="s">
        <v>53</v>
      </c>
      <c r="Z417" s="25">
        <f t="shared" si="401"/>
        <v>0</v>
      </c>
      <c r="AB417" s="25">
        <f t="shared" si="402"/>
        <v>0</v>
      </c>
      <c r="AC417" s="25">
        <f t="shared" si="403"/>
        <v>0</v>
      </c>
      <c r="AD417" s="25">
        <f t="shared" si="404"/>
        <v>0</v>
      </c>
      <c r="AE417" s="25">
        <f t="shared" si="405"/>
        <v>0</v>
      </c>
      <c r="AF417" s="25">
        <f t="shared" si="406"/>
        <v>0</v>
      </c>
      <c r="AG417" s="25">
        <f t="shared" si="407"/>
        <v>0</v>
      </c>
      <c r="AH417" s="25">
        <f t="shared" si="408"/>
        <v>0</v>
      </c>
      <c r="AI417" s="11" t="s">
        <v>46</v>
      </c>
      <c r="AJ417" s="25">
        <f t="shared" si="409"/>
        <v>0</v>
      </c>
      <c r="AK417" s="25">
        <f t="shared" si="410"/>
        <v>0</v>
      </c>
      <c r="AL417" s="25">
        <f t="shared" si="411"/>
        <v>0</v>
      </c>
      <c r="AN417" s="25">
        <v>21</v>
      </c>
      <c r="AO417" s="25">
        <f t="shared" si="420"/>
        <v>0</v>
      </c>
      <c r="AP417" s="25">
        <f t="shared" si="421"/>
        <v>0</v>
      </c>
      <c r="AQ417" s="27" t="s">
        <v>76</v>
      </c>
      <c r="AV417" s="25">
        <f t="shared" si="412"/>
        <v>0</v>
      </c>
      <c r="AW417" s="25">
        <f t="shared" si="413"/>
        <v>0</v>
      </c>
      <c r="AX417" s="25">
        <f t="shared" si="414"/>
        <v>0</v>
      </c>
      <c r="AY417" s="27" t="s">
        <v>1244</v>
      </c>
      <c r="AZ417" s="27" t="s">
        <v>1245</v>
      </c>
      <c r="BA417" s="11" t="s">
        <v>56</v>
      </c>
      <c r="BC417" s="25">
        <f t="shared" si="415"/>
        <v>0</v>
      </c>
      <c r="BD417" s="25">
        <f t="shared" si="416"/>
        <v>0</v>
      </c>
      <c r="BE417" s="25">
        <v>0</v>
      </c>
      <c r="BF417" s="25">
        <f>417</f>
        <v>417</v>
      </c>
      <c r="BH417" s="25">
        <f t="shared" si="417"/>
        <v>0</v>
      </c>
      <c r="BI417" s="25">
        <f t="shared" si="418"/>
        <v>0</v>
      </c>
      <c r="BJ417" s="25">
        <f t="shared" si="419"/>
        <v>0</v>
      </c>
      <c r="BK417" s="27" t="s">
        <v>57</v>
      </c>
      <c r="BL417" s="25">
        <v>731</v>
      </c>
      <c r="BW417" s="25">
        <v>21</v>
      </c>
      <c r="BX417" s="5" t="s">
        <v>1266</v>
      </c>
    </row>
    <row r="418" spans="1:76" x14ac:dyDescent="0.25">
      <c r="A418" s="2" t="s">
        <v>1267</v>
      </c>
      <c r="B418" s="3" t="s">
        <v>1268</v>
      </c>
      <c r="C418" s="93" t="s">
        <v>1269</v>
      </c>
      <c r="D418" s="94"/>
      <c r="E418" s="3" t="s">
        <v>52</v>
      </c>
      <c r="F418" s="25">
        <v>1</v>
      </c>
      <c r="G418" s="25">
        <v>0</v>
      </c>
      <c r="H418" s="25">
        <f t="shared" si="398"/>
        <v>0</v>
      </c>
      <c r="I418" s="25">
        <f t="shared" si="399"/>
        <v>0</v>
      </c>
      <c r="J418" s="25">
        <f t="shared" si="400"/>
        <v>0</v>
      </c>
      <c r="K418" s="26" t="s">
        <v>53</v>
      </c>
      <c r="Z418" s="25">
        <f t="shared" si="401"/>
        <v>0</v>
      </c>
      <c r="AB418" s="25">
        <f t="shared" si="402"/>
        <v>0</v>
      </c>
      <c r="AC418" s="25">
        <f t="shared" si="403"/>
        <v>0</v>
      </c>
      <c r="AD418" s="25">
        <f t="shared" si="404"/>
        <v>0</v>
      </c>
      <c r="AE418" s="25">
        <f t="shared" si="405"/>
        <v>0</v>
      </c>
      <c r="AF418" s="25">
        <f t="shared" si="406"/>
        <v>0</v>
      </c>
      <c r="AG418" s="25">
        <f t="shared" si="407"/>
        <v>0</v>
      </c>
      <c r="AH418" s="25">
        <f t="shared" si="408"/>
        <v>0</v>
      </c>
      <c r="AI418" s="11" t="s">
        <v>46</v>
      </c>
      <c r="AJ418" s="25">
        <f t="shared" si="409"/>
        <v>0</v>
      </c>
      <c r="AK418" s="25">
        <f t="shared" si="410"/>
        <v>0</v>
      </c>
      <c r="AL418" s="25">
        <f t="shared" si="411"/>
        <v>0</v>
      </c>
      <c r="AN418" s="25">
        <v>21</v>
      </c>
      <c r="AO418" s="25">
        <f t="shared" si="420"/>
        <v>0</v>
      </c>
      <c r="AP418" s="25">
        <f t="shared" si="421"/>
        <v>0</v>
      </c>
      <c r="AQ418" s="27" t="s">
        <v>76</v>
      </c>
      <c r="AV418" s="25">
        <f t="shared" si="412"/>
        <v>0</v>
      </c>
      <c r="AW418" s="25">
        <f t="shared" si="413"/>
        <v>0</v>
      </c>
      <c r="AX418" s="25">
        <f t="shared" si="414"/>
        <v>0</v>
      </c>
      <c r="AY418" s="27" t="s">
        <v>1244</v>
      </c>
      <c r="AZ418" s="27" t="s">
        <v>1245</v>
      </c>
      <c r="BA418" s="11" t="s">
        <v>56</v>
      </c>
      <c r="BC418" s="25">
        <f t="shared" si="415"/>
        <v>0</v>
      </c>
      <c r="BD418" s="25">
        <f t="shared" si="416"/>
        <v>0</v>
      </c>
      <c r="BE418" s="25">
        <v>0</v>
      </c>
      <c r="BF418" s="25">
        <f>418</f>
        <v>418</v>
      </c>
      <c r="BH418" s="25">
        <f t="shared" si="417"/>
        <v>0</v>
      </c>
      <c r="BI418" s="25">
        <f t="shared" si="418"/>
        <v>0</v>
      </c>
      <c r="BJ418" s="25">
        <f t="shared" si="419"/>
        <v>0</v>
      </c>
      <c r="BK418" s="27" t="s">
        <v>57</v>
      </c>
      <c r="BL418" s="25">
        <v>731</v>
      </c>
      <c r="BW418" s="25">
        <v>21</v>
      </c>
      <c r="BX418" s="5" t="s">
        <v>1269</v>
      </c>
    </row>
    <row r="419" spans="1:76" x14ac:dyDescent="0.25">
      <c r="A419" s="2" t="s">
        <v>1270</v>
      </c>
      <c r="B419" s="3" t="s">
        <v>1271</v>
      </c>
      <c r="C419" s="93" t="s">
        <v>1272</v>
      </c>
      <c r="D419" s="94"/>
      <c r="E419" s="3" t="s">
        <v>52</v>
      </c>
      <c r="F419" s="25">
        <v>1</v>
      </c>
      <c r="G419" s="25">
        <v>0</v>
      </c>
      <c r="H419" s="25">
        <f t="shared" si="398"/>
        <v>0</v>
      </c>
      <c r="I419" s="25">
        <f t="shared" si="399"/>
        <v>0</v>
      </c>
      <c r="J419" s="25">
        <f t="shared" si="400"/>
        <v>0</v>
      </c>
      <c r="K419" s="26" t="s">
        <v>53</v>
      </c>
      <c r="Z419" s="25">
        <f t="shared" si="401"/>
        <v>0</v>
      </c>
      <c r="AB419" s="25">
        <f t="shared" si="402"/>
        <v>0</v>
      </c>
      <c r="AC419" s="25">
        <f t="shared" si="403"/>
        <v>0</v>
      </c>
      <c r="AD419" s="25">
        <f t="shared" si="404"/>
        <v>0</v>
      </c>
      <c r="AE419" s="25">
        <f t="shared" si="405"/>
        <v>0</v>
      </c>
      <c r="AF419" s="25">
        <f t="shared" si="406"/>
        <v>0</v>
      </c>
      <c r="AG419" s="25">
        <f t="shared" si="407"/>
        <v>0</v>
      </c>
      <c r="AH419" s="25">
        <f t="shared" si="408"/>
        <v>0</v>
      </c>
      <c r="AI419" s="11" t="s">
        <v>46</v>
      </c>
      <c r="AJ419" s="25">
        <f t="shared" si="409"/>
        <v>0</v>
      </c>
      <c r="AK419" s="25">
        <f t="shared" si="410"/>
        <v>0</v>
      </c>
      <c r="AL419" s="25">
        <f t="shared" si="411"/>
        <v>0</v>
      </c>
      <c r="AN419" s="25">
        <v>21</v>
      </c>
      <c r="AO419" s="25">
        <f t="shared" si="420"/>
        <v>0</v>
      </c>
      <c r="AP419" s="25">
        <f t="shared" si="421"/>
        <v>0</v>
      </c>
      <c r="AQ419" s="27" t="s">
        <v>76</v>
      </c>
      <c r="AV419" s="25">
        <f t="shared" si="412"/>
        <v>0</v>
      </c>
      <c r="AW419" s="25">
        <f t="shared" si="413"/>
        <v>0</v>
      </c>
      <c r="AX419" s="25">
        <f t="shared" si="414"/>
        <v>0</v>
      </c>
      <c r="AY419" s="27" t="s">
        <v>1244</v>
      </c>
      <c r="AZ419" s="27" t="s">
        <v>1245</v>
      </c>
      <c r="BA419" s="11" t="s">
        <v>56</v>
      </c>
      <c r="BC419" s="25">
        <f t="shared" si="415"/>
        <v>0</v>
      </c>
      <c r="BD419" s="25">
        <f t="shared" si="416"/>
        <v>0</v>
      </c>
      <c r="BE419" s="25">
        <v>0</v>
      </c>
      <c r="BF419" s="25">
        <f>419</f>
        <v>419</v>
      </c>
      <c r="BH419" s="25">
        <f t="shared" si="417"/>
        <v>0</v>
      </c>
      <c r="BI419" s="25">
        <f t="shared" si="418"/>
        <v>0</v>
      </c>
      <c r="BJ419" s="25">
        <f t="shared" si="419"/>
        <v>0</v>
      </c>
      <c r="BK419" s="27" t="s">
        <v>57</v>
      </c>
      <c r="BL419" s="25">
        <v>731</v>
      </c>
      <c r="BW419" s="25">
        <v>21</v>
      </c>
      <c r="BX419" s="5" t="s">
        <v>1272</v>
      </c>
    </row>
    <row r="420" spans="1:76" x14ac:dyDescent="0.25">
      <c r="A420" s="2" t="s">
        <v>1273</v>
      </c>
      <c r="B420" s="3" t="s">
        <v>1274</v>
      </c>
      <c r="C420" s="93" t="s">
        <v>1275</v>
      </c>
      <c r="D420" s="94"/>
      <c r="E420" s="3" t="s">
        <v>52</v>
      </c>
      <c r="F420" s="25">
        <v>3</v>
      </c>
      <c r="G420" s="25">
        <v>0</v>
      </c>
      <c r="H420" s="25">
        <f t="shared" si="398"/>
        <v>0</v>
      </c>
      <c r="I420" s="25">
        <f t="shared" si="399"/>
        <v>0</v>
      </c>
      <c r="J420" s="25">
        <f t="shared" si="400"/>
        <v>0</v>
      </c>
      <c r="K420" s="26" t="s">
        <v>53</v>
      </c>
      <c r="Z420" s="25">
        <f t="shared" si="401"/>
        <v>0</v>
      </c>
      <c r="AB420" s="25">
        <f t="shared" si="402"/>
        <v>0</v>
      </c>
      <c r="AC420" s="25">
        <f t="shared" si="403"/>
        <v>0</v>
      </c>
      <c r="AD420" s="25">
        <f t="shared" si="404"/>
        <v>0</v>
      </c>
      <c r="AE420" s="25">
        <f t="shared" si="405"/>
        <v>0</v>
      </c>
      <c r="AF420" s="25">
        <f t="shared" si="406"/>
        <v>0</v>
      </c>
      <c r="AG420" s="25">
        <f t="shared" si="407"/>
        <v>0</v>
      </c>
      <c r="AH420" s="25">
        <f t="shared" si="408"/>
        <v>0</v>
      </c>
      <c r="AI420" s="11" t="s">
        <v>46</v>
      </c>
      <c r="AJ420" s="25">
        <f t="shared" si="409"/>
        <v>0</v>
      </c>
      <c r="AK420" s="25">
        <f t="shared" si="410"/>
        <v>0</v>
      </c>
      <c r="AL420" s="25">
        <f t="shared" si="411"/>
        <v>0</v>
      </c>
      <c r="AN420" s="25">
        <v>21</v>
      </c>
      <c r="AO420" s="25">
        <f t="shared" si="420"/>
        <v>0</v>
      </c>
      <c r="AP420" s="25">
        <f t="shared" si="421"/>
        <v>0</v>
      </c>
      <c r="AQ420" s="27" t="s">
        <v>76</v>
      </c>
      <c r="AV420" s="25">
        <f t="shared" si="412"/>
        <v>0</v>
      </c>
      <c r="AW420" s="25">
        <f t="shared" si="413"/>
        <v>0</v>
      </c>
      <c r="AX420" s="25">
        <f t="shared" si="414"/>
        <v>0</v>
      </c>
      <c r="AY420" s="27" t="s">
        <v>1244</v>
      </c>
      <c r="AZ420" s="27" t="s">
        <v>1245</v>
      </c>
      <c r="BA420" s="11" t="s">
        <v>56</v>
      </c>
      <c r="BC420" s="25">
        <f t="shared" si="415"/>
        <v>0</v>
      </c>
      <c r="BD420" s="25">
        <f t="shared" si="416"/>
        <v>0</v>
      </c>
      <c r="BE420" s="25">
        <v>0</v>
      </c>
      <c r="BF420" s="25">
        <f>420</f>
        <v>420</v>
      </c>
      <c r="BH420" s="25">
        <f t="shared" si="417"/>
        <v>0</v>
      </c>
      <c r="BI420" s="25">
        <f t="shared" si="418"/>
        <v>0</v>
      </c>
      <c r="BJ420" s="25">
        <f t="shared" si="419"/>
        <v>0</v>
      </c>
      <c r="BK420" s="27" t="s">
        <v>57</v>
      </c>
      <c r="BL420" s="25">
        <v>731</v>
      </c>
      <c r="BW420" s="25">
        <v>21</v>
      </c>
      <c r="BX420" s="5" t="s">
        <v>1275</v>
      </c>
    </row>
    <row r="421" spans="1:76" x14ac:dyDescent="0.25">
      <c r="A421" s="2" t="s">
        <v>1276</v>
      </c>
      <c r="B421" s="3" t="s">
        <v>1277</v>
      </c>
      <c r="C421" s="93" t="s">
        <v>1278</v>
      </c>
      <c r="D421" s="94"/>
      <c r="E421" s="3" t="s">
        <v>52</v>
      </c>
      <c r="F421" s="25">
        <v>2</v>
      </c>
      <c r="G421" s="25">
        <v>0</v>
      </c>
      <c r="H421" s="25">
        <f t="shared" si="398"/>
        <v>0</v>
      </c>
      <c r="I421" s="25">
        <f t="shared" si="399"/>
        <v>0</v>
      </c>
      <c r="J421" s="25">
        <f t="shared" si="400"/>
        <v>0</v>
      </c>
      <c r="K421" s="26" t="s">
        <v>53</v>
      </c>
      <c r="Z421" s="25">
        <f t="shared" si="401"/>
        <v>0</v>
      </c>
      <c r="AB421" s="25">
        <f t="shared" si="402"/>
        <v>0</v>
      </c>
      <c r="AC421" s="25">
        <f t="shared" si="403"/>
        <v>0</v>
      </c>
      <c r="AD421" s="25">
        <f t="shared" si="404"/>
        <v>0</v>
      </c>
      <c r="AE421" s="25">
        <f t="shared" si="405"/>
        <v>0</v>
      </c>
      <c r="AF421" s="25">
        <f t="shared" si="406"/>
        <v>0</v>
      </c>
      <c r="AG421" s="25">
        <f t="shared" si="407"/>
        <v>0</v>
      </c>
      <c r="AH421" s="25">
        <f t="shared" si="408"/>
        <v>0</v>
      </c>
      <c r="AI421" s="11" t="s">
        <v>46</v>
      </c>
      <c r="AJ421" s="25">
        <f t="shared" si="409"/>
        <v>0</v>
      </c>
      <c r="AK421" s="25">
        <f t="shared" si="410"/>
        <v>0</v>
      </c>
      <c r="AL421" s="25">
        <f t="shared" si="411"/>
        <v>0</v>
      </c>
      <c r="AN421" s="25">
        <v>21</v>
      </c>
      <c r="AO421" s="25">
        <f t="shared" si="420"/>
        <v>0</v>
      </c>
      <c r="AP421" s="25">
        <f t="shared" si="421"/>
        <v>0</v>
      </c>
      <c r="AQ421" s="27" t="s">
        <v>76</v>
      </c>
      <c r="AV421" s="25">
        <f t="shared" si="412"/>
        <v>0</v>
      </c>
      <c r="AW421" s="25">
        <f t="shared" si="413"/>
        <v>0</v>
      </c>
      <c r="AX421" s="25">
        <f t="shared" si="414"/>
        <v>0</v>
      </c>
      <c r="AY421" s="27" t="s">
        <v>1244</v>
      </c>
      <c r="AZ421" s="27" t="s">
        <v>1245</v>
      </c>
      <c r="BA421" s="11" t="s">
        <v>56</v>
      </c>
      <c r="BC421" s="25">
        <f t="shared" si="415"/>
        <v>0</v>
      </c>
      <c r="BD421" s="25">
        <f t="shared" si="416"/>
        <v>0</v>
      </c>
      <c r="BE421" s="25">
        <v>0</v>
      </c>
      <c r="BF421" s="25">
        <f>421</f>
        <v>421</v>
      </c>
      <c r="BH421" s="25">
        <f t="shared" si="417"/>
        <v>0</v>
      </c>
      <c r="BI421" s="25">
        <f t="shared" si="418"/>
        <v>0</v>
      </c>
      <c r="BJ421" s="25">
        <f t="shared" si="419"/>
        <v>0</v>
      </c>
      <c r="BK421" s="27" t="s">
        <v>57</v>
      </c>
      <c r="BL421" s="25">
        <v>731</v>
      </c>
      <c r="BW421" s="25">
        <v>21</v>
      </c>
      <c r="BX421" s="5" t="s">
        <v>1278</v>
      </c>
    </row>
    <row r="422" spans="1:76" x14ac:dyDescent="0.25">
      <c r="A422" s="2" t="s">
        <v>1279</v>
      </c>
      <c r="B422" s="3" t="s">
        <v>1280</v>
      </c>
      <c r="C422" s="93" t="s">
        <v>1281</v>
      </c>
      <c r="D422" s="94"/>
      <c r="E422" s="3" t="s">
        <v>52</v>
      </c>
      <c r="F422" s="25">
        <v>3</v>
      </c>
      <c r="G422" s="25">
        <v>0</v>
      </c>
      <c r="H422" s="25">
        <f t="shared" si="398"/>
        <v>0</v>
      </c>
      <c r="I422" s="25">
        <f t="shared" si="399"/>
        <v>0</v>
      </c>
      <c r="J422" s="25">
        <f t="shared" si="400"/>
        <v>0</v>
      </c>
      <c r="K422" s="26" t="s">
        <v>53</v>
      </c>
      <c r="Z422" s="25">
        <f t="shared" si="401"/>
        <v>0</v>
      </c>
      <c r="AB422" s="25">
        <f t="shared" si="402"/>
        <v>0</v>
      </c>
      <c r="AC422" s="25">
        <f t="shared" si="403"/>
        <v>0</v>
      </c>
      <c r="AD422" s="25">
        <f t="shared" si="404"/>
        <v>0</v>
      </c>
      <c r="AE422" s="25">
        <f t="shared" si="405"/>
        <v>0</v>
      </c>
      <c r="AF422" s="25">
        <f t="shared" si="406"/>
        <v>0</v>
      </c>
      <c r="AG422" s="25">
        <f t="shared" si="407"/>
        <v>0</v>
      </c>
      <c r="AH422" s="25">
        <f t="shared" si="408"/>
        <v>0</v>
      </c>
      <c r="AI422" s="11" t="s">
        <v>46</v>
      </c>
      <c r="AJ422" s="25">
        <f t="shared" si="409"/>
        <v>0</v>
      </c>
      <c r="AK422" s="25">
        <f t="shared" si="410"/>
        <v>0</v>
      </c>
      <c r="AL422" s="25">
        <f t="shared" si="411"/>
        <v>0</v>
      </c>
      <c r="AN422" s="25">
        <v>21</v>
      </c>
      <c r="AO422" s="25">
        <f t="shared" si="420"/>
        <v>0</v>
      </c>
      <c r="AP422" s="25">
        <f t="shared" si="421"/>
        <v>0</v>
      </c>
      <c r="AQ422" s="27" t="s">
        <v>76</v>
      </c>
      <c r="AV422" s="25">
        <f t="shared" si="412"/>
        <v>0</v>
      </c>
      <c r="AW422" s="25">
        <f t="shared" si="413"/>
        <v>0</v>
      </c>
      <c r="AX422" s="25">
        <f t="shared" si="414"/>
        <v>0</v>
      </c>
      <c r="AY422" s="27" t="s">
        <v>1244</v>
      </c>
      <c r="AZ422" s="27" t="s">
        <v>1245</v>
      </c>
      <c r="BA422" s="11" t="s">
        <v>56</v>
      </c>
      <c r="BC422" s="25">
        <f t="shared" si="415"/>
        <v>0</v>
      </c>
      <c r="BD422" s="25">
        <f t="shared" si="416"/>
        <v>0</v>
      </c>
      <c r="BE422" s="25">
        <v>0</v>
      </c>
      <c r="BF422" s="25">
        <f>422</f>
        <v>422</v>
      </c>
      <c r="BH422" s="25">
        <f t="shared" si="417"/>
        <v>0</v>
      </c>
      <c r="BI422" s="25">
        <f t="shared" si="418"/>
        <v>0</v>
      </c>
      <c r="BJ422" s="25">
        <f t="shared" si="419"/>
        <v>0</v>
      </c>
      <c r="BK422" s="27" t="s">
        <v>57</v>
      </c>
      <c r="BL422" s="25">
        <v>731</v>
      </c>
      <c r="BW422" s="25">
        <v>21</v>
      </c>
      <c r="BX422" s="5" t="s">
        <v>1281</v>
      </c>
    </row>
    <row r="423" spans="1:76" x14ac:dyDescent="0.25">
      <c r="A423" s="2" t="s">
        <v>1282</v>
      </c>
      <c r="B423" s="3" t="s">
        <v>1283</v>
      </c>
      <c r="C423" s="93" t="s">
        <v>1284</v>
      </c>
      <c r="D423" s="94"/>
      <c r="E423" s="3" t="s">
        <v>52</v>
      </c>
      <c r="F423" s="25">
        <v>1</v>
      </c>
      <c r="G423" s="25">
        <v>0</v>
      </c>
      <c r="H423" s="25">
        <f t="shared" si="398"/>
        <v>0</v>
      </c>
      <c r="I423" s="25">
        <f t="shared" si="399"/>
        <v>0</v>
      </c>
      <c r="J423" s="25">
        <f t="shared" si="400"/>
        <v>0</v>
      </c>
      <c r="K423" s="26" t="s">
        <v>53</v>
      </c>
      <c r="Z423" s="25">
        <f t="shared" si="401"/>
        <v>0</v>
      </c>
      <c r="AB423" s="25">
        <f t="shared" si="402"/>
        <v>0</v>
      </c>
      <c r="AC423" s="25">
        <f t="shared" si="403"/>
        <v>0</v>
      </c>
      <c r="AD423" s="25">
        <f t="shared" si="404"/>
        <v>0</v>
      </c>
      <c r="AE423" s="25">
        <f t="shared" si="405"/>
        <v>0</v>
      </c>
      <c r="AF423" s="25">
        <f t="shared" si="406"/>
        <v>0</v>
      </c>
      <c r="AG423" s="25">
        <f t="shared" si="407"/>
        <v>0</v>
      </c>
      <c r="AH423" s="25">
        <f t="shared" si="408"/>
        <v>0</v>
      </c>
      <c r="AI423" s="11" t="s">
        <v>46</v>
      </c>
      <c r="AJ423" s="25">
        <f t="shared" si="409"/>
        <v>0</v>
      </c>
      <c r="AK423" s="25">
        <f t="shared" si="410"/>
        <v>0</v>
      </c>
      <c r="AL423" s="25">
        <f t="shared" si="411"/>
        <v>0</v>
      </c>
      <c r="AN423" s="25">
        <v>21</v>
      </c>
      <c r="AO423" s="25">
        <f t="shared" si="420"/>
        <v>0</v>
      </c>
      <c r="AP423" s="25">
        <f t="shared" si="421"/>
        <v>0</v>
      </c>
      <c r="AQ423" s="27" t="s">
        <v>76</v>
      </c>
      <c r="AV423" s="25">
        <f t="shared" si="412"/>
        <v>0</v>
      </c>
      <c r="AW423" s="25">
        <f t="shared" si="413"/>
        <v>0</v>
      </c>
      <c r="AX423" s="25">
        <f t="shared" si="414"/>
        <v>0</v>
      </c>
      <c r="AY423" s="27" t="s">
        <v>1244</v>
      </c>
      <c r="AZ423" s="27" t="s">
        <v>1245</v>
      </c>
      <c r="BA423" s="11" t="s">
        <v>56</v>
      </c>
      <c r="BC423" s="25">
        <f t="shared" si="415"/>
        <v>0</v>
      </c>
      <c r="BD423" s="25">
        <f t="shared" si="416"/>
        <v>0</v>
      </c>
      <c r="BE423" s="25">
        <v>0</v>
      </c>
      <c r="BF423" s="25">
        <f>423</f>
        <v>423</v>
      </c>
      <c r="BH423" s="25">
        <f t="shared" si="417"/>
        <v>0</v>
      </c>
      <c r="BI423" s="25">
        <f t="shared" si="418"/>
        <v>0</v>
      </c>
      <c r="BJ423" s="25">
        <f t="shared" si="419"/>
        <v>0</v>
      </c>
      <c r="BK423" s="27" t="s">
        <v>57</v>
      </c>
      <c r="BL423" s="25">
        <v>731</v>
      </c>
      <c r="BW423" s="25">
        <v>21</v>
      </c>
      <c r="BX423" s="5" t="s">
        <v>1284</v>
      </c>
    </row>
    <row r="424" spans="1:76" x14ac:dyDescent="0.25">
      <c r="A424" s="2" t="s">
        <v>1285</v>
      </c>
      <c r="B424" s="3" t="s">
        <v>1286</v>
      </c>
      <c r="C424" s="93" t="s">
        <v>1287</v>
      </c>
      <c r="D424" s="94"/>
      <c r="E424" s="3" t="s">
        <v>52</v>
      </c>
      <c r="F424" s="25">
        <v>1</v>
      </c>
      <c r="G424" s="25">
        <v>0</v>
      </c>
      <c r="H424" s="25">
        <f t="shared" si="398"/>
        <v>0</v>
      </c>
      <c r="I424" s="25">
        <f t="shared" si="399"/>
        <v>0</v>
      </c>
      <c r="J424" s="25">
        <f t="shared" si="400"/>
        <v>0</v>
      </c>
      <c r="K424" s="26" t="s">
        <v>53</v>
      </c>
      <c r="Z424" s="25">
        <f t="shared" si="401"/>
        <v>0</v>
      </c>
      <c r="AB424" s="25">
        <f t="shared" si="402"/>
        <v>0</v>
      </c>
      <c r="AC424" s="25">
        <f t="shared" si="403"/>
        <v>0</v>
      </c>
      <c r="AD424" s="25">
        <f t="shared" si="404"/>
        <v>0</v>
      </c>
      <c r="AE424" s="25">
        <f t="shared" si="405"/>
        <v>0</v>
      </c>
      <c r="AF424" s="25">
        <f t="shared" si="406"/>
        <v>0</v>
      </c>
      <c r="AG424" s="25">
        <f t="shared" si="407"/>
        <v>0</v>
      </c>
      <c r="AH424" s="25">
        <f t="shared" si="408"/>
        <v>0</v>
      </c>
      <c r="AI424" s="11" t="s">
        <v>46</v>
      </c>
      <c r="AJ424" s="25">
        <f t="shared" si="409"/>
        <v>0</v>
      </c>
      <c r="AK424" s="25">
        <f t="shared" si="410"/>
        <v>0</v>
      </c>
      <c r="AL424" s="25">
        <f t="shared" si="411"/>
        <v>0</v>
      </c>
      <c r="AN424" s="25">
        <v>21</v>
      </c>
      <c r="AO424" s="25">
        <f t="shared" si="420"/>
        <v>0</v>
      </c>
      <c r="AP424" s="25">
        <f t="shared" si="421"/>
        <v>0</v>
      </c>
      <c r="AQ424" s="27" t="s">
        <v>76</v>
      </c>
      <c r="AV424" s="25">
        <f t="shared" si="412"/>
        <v>0</v>
      </c>
      <c r="AW424" s="25">
        <f t="shared" si="413"/>
        <v>0</v>
      </c>
      <c r="AX424" s="25">
        <f t="shared" si="414"/>
        <v>0</v>
      </c>
      <c r="AY424" s="27" t="s">
        <v>1244</v>
      </c>
      <c r="AZ424" s="27" t="s">
        <v>1245</v>
      </c>
      <c r="BA424" s="11" t="s">
        <v>56</v>
      </c>
      <c r="BC424" s="25">
        <f t="shared" si="415"/>
        <v>0</v>
      </c>
      <c r="BD424" s="25">
        <f t="shared" si="416"/>
        <v>0</v>
      </c>
      <c r="BE424" s="25">
        <v>0</v>
      </c>
      <c r="BF424" s="25">
        <f>424</f>
        <v>424</v>
      </c>
      <c r="BH424" s="25">
        <f t="shared" si="417"/>
        <v>0</v>
      </c>
      <c r="BI424" s="25">
        <f t="shared" si="418"/>
        <v>0</v>
      </c>
      <c r="BJ424" s="25">
        <f t="shared" si="419"/>
        <v>0</v>
      </c>
      <c r="BK424" s="27" t="s">
        <v>57</v>
      </c>
      <c r="BL424" s="25">
        <v>731</v>
      </c>
      <c r="BW424" s="25">
        <v>21</v>
      </c>
      <c r="BX424" s="5" t="s">
        <v>1287</v>
      </c>
    </row>
    <row r="425" spans="1:76" x14ac:dyDescent="0.25">
      <c r="A425" s="2" t="s">
        <v>1288</v>
      </c>
      <c r="B425" s="3" t="s">
        <v>1289</v>
      </c>
      <c r="C425" s="93" t="s">
        <v>1290</v>
      </c>
      <c r="D425" s="94"/>
      <c r="E425" s="3" t="s">
        <v>52</v>
      </c>
      <c r="F425" s="25">
        <v>2</v>
      </c>
      <c r="G425" s="25">
        <v>0</v>
      </c>
      <c r="H425" s="25">
        <f t="shared" si="398"/>
        <v>0</v>
      </c>
      <c r="I425" s="25">
        <f t="shared" si="399"/>
        <v>0</v>
      </c>
      <c r="J425" s="25">
        <f t="shared" si="400"/>
        <v>0</v>
      </c>
      <c r="K425" s="26" t="s">
        <v>53</v>
      </c>
      <c r="Z425" s="25">
        <f t="shared" si="401"/>
        <v>0</v>
      </c>
      <c r="AB425" s="25">
        <f t="shared" si="402"/>
        <v>0</v>
      </c>
      <c r="AC425" s="25">
        <f t="shared" si="403"/>
        <v>0</v>
      </c>
      <c r="AD425" s="25">
        <f t="shared" si="404"/>
        <v>0</v>
      </c>
      <c r="AE425" s="25">
        <f t="shared" si="405"/>
        <v>0</v>
      </c>
      <c r="AF425" s="25">
        <f t="shared" si="406"/>
        <v>0</v>
      </c>
      <c r="AG425" s="25">
        <f t="shared" si="407"/>
        <v>0</v>
      </c>
      <c r="AH425" s="25">
        <f t="shared" si="408"/>
        <v>0</v>
      </c>
      <c r="AI425" s="11" t="s">
        <v>46</v>
      </c>
      <c r="AJ425" s="25">
        <f t="shared" si="409"/>
        <v>0</v>
      </c>
      <c r="AK425" s="25">
        <f t="shared" si="410"/>
        <v>0</v>
      </c>
      <c r="AL425" s="25">
        <f t="shared" si="411"/>
        <v>0</v>
      </c>
      <c r="AN425" s="25">
        <v>21</v>
      </c>
      <c r="AO425" s="25">
        <f t="shared" si="420"/>
        <v>0</v>
      </c>
      <c r="AP425" s="25">
        <f t="shared" si="421"/>
        <v>0</v>
      </c>
      <c r="AQ425" s="27" t="s">
        <v>76</v>
      </c>
      <c r="AV425" s="25">
        <f t="shared" si="412"/>
        <v>0</v>
      </c>
      <c r="AW425" s="25">
        <f t="shared" si="413"/>
        <v>0</v>
      </c>
      <c r="AX425" s="25">
        <f t="shared" si="414"/>
        <v>0</v>
      </c>
      <c r="AY425" s="27" t="s">
        <v>1244</v>
      </c>
      <c r="AZ425" s="27" t="s">
        <v>1245</v>
      </c>
      <c r="BA425" s="11" t="s">
        <v>56</v>
      </c>
      <c r="BC425" s="25">
        <f t="shared" si="415"/>
        <v>0</v>
      </c>
      <c r="BD425" s="25">
        <f t="shared" si="416"/>
        <v>0</v>
      </c>
      <c r="BE425" s="25">
        <v>0</v>
      </c>
      <c r="BF425" s="25">
        <f>425</f>
        <v>425</v>
      </c>
      <c r="BH425" s="25">
        <f t="shared" si="417"/>
        <v>0</v>
      </c>
      <c r="BI425" s="25">
        <f t="shared" si="418"/>
        <v>0</v>
      </c>
      <c r="BJ425" s="25">
        <f t="shared" si="419"/>
        <v>0</v>
      </c>
      <c r="BK425" s="27" t="s">
        <v>57</v>
      </c>
      <c r="BL425" s="25">
        <v>731</v>
      </c>
      <c r="BW425" s="25">
        <v>21</v>
      </c>
      <c r="BX425" s="5" t="s">
        <v>1290</v>
      </c>
    </row>
    <row r="426" spans="1:76" x14ac:dyDescent="0.25">
      <c r="A426" s="2" t="s">
        <v>1291</v>
      </c>
      <c r="B426" s="3" t="s">
        <v>1292</v>
      </c>
      <c r="C426" s="93" t="s">
        <v>1293</v>
      </c>
      <c r="D426" s="94"/>
      <c r="E426" s="3" t="s">
        <v>52</v>
      </c>
      <c r="F426" s="25">
        <v>5</v>
      </c>
      <c r="G426" s="25">
        <v>0</v>
      </c>
      <c r="H426" s="25">
        <f t="shared" si="398"/>
        <v>0</v>
      </c>
      <c r="I426" s="25">
        <f t="shared" si="399"/>
        <v>0</v>
      </c>
      <c r="J426" s="25">
        <f t="shared" si="400"/>
        <v>0</v>
      </c>
      <c r="K426" s="26" t="s">
        <v>53</v>
      </c>
      <c r="Z426" s="25">
        <f t="shared" si="401"/>
        <v>0</v>
      </c>
      <c r="AB426" s="25">
        <f t="shared" si="402"/>
        <v>0</v>
      </c>
      <c r="AC426" s="25">
        <f t="shared" si="403"/>
        <v>0</v>
      </c>
      <c r="AD426" s="25">
        <f t="shared" si="404"/>
        <v>0</v>
      </c>
      <c r="AE426" s="25">
        <f t="shared" si="405"/>
        <v>0</v>
      </c>
      <c r="AF426" s="25">
        <f t="shared" si="406"/>
        <v>0</v>
      </c>
      <c r="AG426" s="25">
        <f t="shared" si="407"/>
        <v>0</v>
      </c>
      <c r="AH426" s="25">
        <f t="shared" si="408"/>
        <v>0</v>
      </c>
      <c r="AI426" s="11" t="s">
        <v>46</v>
      </c>
      <c r="AJ426" s="25">
        <f t="shared" si="409"/>
        <v>0</v>
      </c>
      <c r="AK426" s="25">
        <f t="shared" si="410"/>
        <v>0</v>
      </c>
      <c r="AL426" s="25">
        <f t="shared" si="411"/>
        <v>0</v>
      </c>
      <c r="AN426" s="25">
        <v>21</v>
      </c>
      <c r="AO426" s="25">
        <f t="shared" si="420"/>
        <v>0</v>
      </c>
      <c r="AP426" s="25">
        <f t="shared" si="421"/>
        <v>0</v>
      </c>
      <c r="AQ426" s="27" t="s">
        <v>76</v>
      </c>
      <c r="AV426" s="25">
        <f t="shared" si="412"/>
        <v>0</v>
      </c>
      <c r="AW426" s="25">
        <f t="shared" si="413"/>
        <v>0</v>
      </c>
      <c r="AX426" s="25">
        <f t="shared" si="414"/>
        <v>0</v>
      </c>
      <c r="AY426" s="27" t="s">
        <v>1244</v>
      </c>
      <c r="AZ426" s="27" t="s">
        <v>1245</v>
      </c>
      <c r="BA426" s="11" t="s">
        <v>56</v>
      </c>
      <c r="BC426" s="25">
        <f t="shared" si="415"/>
        <v>0</v>
      </c>
      <c r="BD426" s="25">
        <f t="shared" si="416"/>
        <v>0</v>
      </c>
      <c r="BE426" s="25">
        <v>0</v>
      </c>
      <c r="BF426" s="25">
        <f>426</f>
        <v>426</v>
      </c>
      <c r="BH426" s="25">
        <f t="shared" si="417"/>
        <v>0</v>
      </c>
      <c r="BI426" s="25">
        <f t="shared" si="418"/>
        <v>0</v>
      </c>
      <c r="BJ426" s="25">
        <f t="shared" si="419"/>
        <v>0</v>
      </c>
      <c r="BK426" s="27" t="s">
        <v>57</v>
      </c>
      <c r="BL426" s="25">
        <v>731</v>
      </c>
      <c r="BW426" s="25">
        <v>21</v>
      </c>
      <c r="BX426" s="5" t="s">
        <v>1293</v>
      </c>
    </row>
    <row r="427" spans="1:76" x14ac:dyDescent="0.25">
      <c r="A427" s="2" t="s">
        <v>1294</v>
      </c>
      <c r="B427" s="3" t="s">
        <v>1295</v>
      </c>
      <c r="C427" s="93" t="s">
        <v>1296</v>
      </c>
      <c r="D427" s="94"/>
      <c r="E427" s="3" t="s">
        <v>52</v>
      </c>
      <c r="F427" s="25">
        <v>4</v>
      </c>
      <c r="G427" s="25">
        <v>0</v>
      </c>
      <c r="H427" s="25">
        <f t="shared" si="398"/>
        <v>0</v>
      </c>
      <c r="I427" s="25">
        <f t="shared" si="399"/>
        <v>0</v>
      </c>
      <c r="J427" s="25">
        <f t="shared" si="400"/>
        <v>0</v>
      </c>
      <c r="K427" s="26" t="s">
        <v>53</v>
      </c>
      <c r="Z427" s="25">
        <f t="shared" si="401"/>
        <v>0</v>
      </c>
      <c r="AB427" s="25">
        <f t="shared" si="402"/>
        <v>0</v>
      </c>
      <c r="AC427" s="25">
        <f t="shared" si="403"/>
        <v>0</v>
      </c>
      <c r="AD427" s="25">
        <f t="shared" si="404"/>
        <v>0</v>
      </c>
      <c r="AE427" s="25">
        <f t="shared" si="405"/>
        <v>0</v>
      </c>
      <c r="AF427" s="25">
        <f t="shared" si="406"/>
        <v>0</v>
      </c>
      <c r="AG427" s="25">
        <f t="shared" si="407"/>
        <v>0</v>
      </c>
      <c r="AH427" s="25">
        <f t="shared" si="408"/>
        <v>0</v>
      </c>
      <c r="AI427" s="11" t="s">
        <v>46</v>
      </c>
      <c r="AJ427" s="25">
        <f t="shared" si="409"/>
        <v>0</v>
      </c>
      <c r="AK427" s="25">
        <f t="shared" si="410"/>
        <v>0</v>
      </c>
      <c r="AL427" s="25">
        <f t="shared" si="411"/>
        <v>0</v>
      </c>
      <c r="AN427" s="25">
        <v>21</v>
      </c>
      <c r="AO427" s="25">
        <f t="shared" si="420"/>
        <v>0</v>
      </c>
      <c r="AP427" s="25">
        <f t="shared" si="421"/>
        <v>0</v>
      </c>
      <c r="AQ427" s="27" t="s">
        <v>76</v>
      </c>
      <c r="AV427" s="25">
        <f t="shared" si="412"/>
        <v>0</v>
      </c>
      <c r="AW427" s="25">
        <f t="shared" si="413"/>
        <v>0</v>
      </c>
      <c r="AX427" s="25">
        <f t="shared" si="414"/>
        <v>0</v>
      </c>
      <c r="AY427" s="27" t="s">
        <v>1244</v>
      </c>
      <c r="AZ427" s="27" t="s">
        <v>1245</v>
      </c>
      <c r="BA427" s="11" t="s">
        <v>56</v>
      </c>
      <c r="BC427" s="25">
        <f t="shared" si="415"/>
        <v>0</v>
      </c>
      <c r="BD427" s="25">
        <f t="shared" si="416"/>
        <v>0</v>
      </c>
      <c r="BE427" s="25">
        <v>0</v>
      </c>
      <c r="BF427" s="25">
        <f>427</f>
        <v>427</v>
      </c>
      <c r="BH427" s="25">
        <f t="shared" si="417"/>
        <v>0</v>
      </c>
      <c r="BI427" s="25">
        <f t="shared" si="418"/>
        <v>0</v>
      </c>
      <c r="BJ427" s="25">
        <f t="shared" si="419"/>
        <v>0</v>
      </c>
      <c r="BK427" s="27" t="s">
        <v>57</v>
      </c>
      <c r="BL427" s="25">
        <v>731</v>
      </c>
      <c r="BW427" s="25">
        <v>21</v>
      </c>
      <c r="BX427" s="5" t="s">
        <v>1296</v>
      </c>
    </row>
    <row r="428" spans="1:76" x14ac:dyDescent="0.25">
      <c r="A428" s="2" t="s">
        <v>1297</v>
      </c>
      <c r="B428" s="3" t="s">
        <v>1298</v>
      </c>
      <c r="C428" s="93" t="s">
        <v>1299</v>
      </c>
      <c r="D428" s="94"/>
      <c r="E428" s="3" t="s">
        <v>52</v>
      </c>
      <c r="F428" s="25">
        <v>1</v>
      </c>
      <c r="G428" s="25">
        <v>0</v>
      </c>
      <c r="H428" s="25">
        <f t="shared" si="398"/>
        <v>0</v>
      </c>
      <c r="I428" s="25">
        <f t="shared" si="399"/>
        <v>0</v>
      </c>
      <c r="J428" s="25">
        <f t="shared" si="400"/>
        <v>0</v>
      </c>
      <c r="K428" s="26" t="s">
        <v>53</v>
      </c>
      <c r="Z428" s="25">
        <f t="shared" si="401"/>
        <v>0</v>
      </c>
      <c r="AB428" s="25">
        <f t="shared" si="402"/>
        <v>0</v>
      </c>
      <c r="AC428" s="25">
        <f t="shared" si="403"/>
        <v>0</v>
      </c>
      <c r="AD428" s="25">
        <f t="shared" si="404"/>
        <v>0</v>
      </c>
      <c r="AE428" s="25">
        <f t="shared" si="405"/>
        <v>0</v>
      </c>
      <c r="AF428" s="25">
        <f t="shared" si="406"/>
        <v>0</v>
      </c>
      <c r="AG428" s="25">
        <f t="shared" si="407"/>
        <v>0</v>
      </c>
      <c r="AH428" s="25">
        <f t="shared" si="408"/>
        <v>0</v>
      </c>
      <c r="AI428" s="11" t="s">
        <v>46</v>
      </c>
      <c r="AJ428" s="25">
        <f t="shared" si="409"/>
        <v>0</v>
      </c>
      <c r="AK428" s="25">
        <f t="shared" si="410"/>
        <v>0</v>
      </c>
      <c r="AL428" s="25">
        <f t="shared" si="411"/>
        <v>0</v>
      </c>
      <c r="AN428" s="25">
        <v>21</v>
      </c>
      <c r="AO428" s="25">
        <f t="shared" si="420"/>
        <v>0</v>
      </c>
      <c r="AP428" s="25">
        <f t="shared" si="421"/>
        <v>0</v>
      </c>
      <c r="AQ428" s="27" t="s">
        <v>76</v>
      </c>
      <c r="AV428" s="25">
        <f t="shared" si="412"/>
        <v>0</v>
      </c>
      <c r="AW428" s="25">
        <f t="shared" si="413"/>
        <v>0</v>
      </c>
      <c r="AX428" s="25">
        <f t="shared" si="414"/>
        <v>0</v>
      </c>
      <c r="AY428" s="27" t="s">
        <v>1244</v>
      </c>
      <c r="AZ428" s="27" t="s">
        <v>1245</v>
      </c>
      <c r="BA428" s="11" t="s">
        <v>56</v>
      </c>
      <c r="BC428" s="25">
        <f t="shared" si="415"/>
        <v>0</v>
      </c>
      <c r="BD428" s="25">
        <f t="shared" si="416"/>
        <v>0</v>
      </c>
      <c r="BE428" s="25">
        <v>0</v>
      </c>
      <c r="BF428" s="25">
        <f>428</f>
        <v>428</v>
      </c>
      <c r="BH428" s="25">
        <f t="shared" si="417"/>
        <v>0</v>
      </c>
      <c r="BI428" s="25">
        <f t="shared" si="418"/>
        <v>0</v>
      </c>
      <c r="BJ428" s="25">
        <f t="shared" si="419"/>
        <v>0</v>
      </c>
      <c r="BK428" s="27" t="s">
        <v>57</v>
      </c>
      <c r="BL428" s="25">
        <v>731</v>
      </c>
      <c r="BW428" s="25">
        <v>21</v>
      </c>
      <c r="BX428" s="5" t="s">
        <v>1299</v>
      </c>
    </row>
    <row r="429" spans="1:76" x14ac:dyDescent="0.25">
      <c r="A429" s="2" t="s">
        <v>1300</v>
      </c>
      <c r="B429" s="3" t="s">
        <v>1301</v>
      </c>
      <c r="C429" s="93" t="s">
        <v>1302</v>
      </c>
      <c r="D429" s="94"/>
      <c r="E429" s="3" t="s">
        <v>52</v>
      </c>
      <c r="F429" s="25">
        <v>1</v>
      </c>
      <c r="G429" s="25">
        <v>0</v>
      </c>
      <c r="H429" s="25">
        <f t="shared" si="398"/>
        <v>0</v>
      </c>
      <c r="I429" s="25">
        <f t="shared" si="399"/>
        <v>0</v>
      </c>
      <c r="J429" s="25">
        <f t="shared" si="400"/>
        <v>0</v>
      </c>
      <c r="K429" s="26" t="s">
        <v>53</v>
      </c>
      <c r="Z429" s="25">
        <f t="shared" si="401"/>
        <v>0</v>
      </c>
      <c r="AB429" s="25">
        <f t="shared" si="402"/>
        <v>0</v>
      </c>
      <c r="AC429" s="25">
        <f t="shared" si="403"/>
        <v>0</v>
      </c>
      <c r="AD429" s="25">
        <f t="shared" si="404"/>
        <v>0</v>
      </c>
      <c r="AE429" s="25">
        <f t="shared" si="405"/>
        <v>0</v>
      </c>
      <c r="AF429" s="25">
        <f t="shared" si="406"/>
        <v>0</v>
      </c>
      <c r="AG429" s="25">
        <f t="shared" si="407"/>
        <v>0</v>
      </c>
      <c r="AH429" s="25">
        <f t="shared" si="408"/>
        <v>0</v>
      </c>
      <c r="AI429" s="11" t="s">
        <v>46</v>
      </c>
      <c r="AJ429" s="25">
        <f t="shared" si="409"/>
        <v>0</v>
      </c>
      <c r="AK429" s="25">
        <f t="shared" si="410"/>
        <v>0</v>
      </c>
      <c r="AL429" s="25">
        <f t="shared" si="411"/>
        <v>0</v>
      </c>
      <c r="AN429" s="25">
        <v>21</v>
      </c>
      <c r="AO429" s="25">
        <f t="shared" si="420"/>
        <v>0</v>
      </c>
      <c r="AP429" s="25">
        <f t="shared" si="421"/>
        <v>0</v>
      </c>
      <c r="AQ429" s="27" t="s">
        <v>76</v>
      </c>
      <c r="AV429" s="25">
        <f t="shared" si="412"/>
        <v>0</v>
      </c>
      <c r="AW429" s="25">
        <f t="shared" si="413"/>
        <v>0</v>
      </c>
      <c r="AX429" s="25">
        <f t="shared" si="414"/>
        <v>0</v>
      </c>
      <c r="AY429" s="27" t="s">
        <v>1244</v>
      </c>
      <c r="AZ429" s="27" t="s">
        <v>1245</v>
      </c>
      <c r="BA429" s="11" t="s">
        <v>56</v>
      </c>
      <c r="BC429" s="25">
        <f t="shared" si="415"/>
        <v>0</v>
      </c>
      <c r="BD429" s="25">
        <f t="shared" si="416"/>
        <v>0</v>
      </c>
      <c r="BE429" s="25">
        <v>0</v>
      </c>
      <c r="BF429" s="25">
        <f>429</f>
        <v>429</v>
      </c>
      <c r="BH429" s="25">
        <f t="shared" si="417"/>
        <v>0</v>
      </c>
      <c r="BI429" s="25">
        <f t="shared" si="418"/>
        <v>0</v>
      </c>
      <c r="BJ429" s="25">
        <f t="shared" si="419"/>
        <v>0</v>
      </c>
      <c r="BK429" s="27" t="s">
        <v>57</v>
      </c>
      <c r="BL429" s="25">
        <v>731</v>
      </c>
      <c r="BW429" s="25">
        <v>21</v>
      </c>
      <c r="BX429" s="5" t="s">
        <v>1302</v>
      </c>
    </row>
    <row r="430" spans="1:76" x14ac:dyDescent="0.25">
      <c r="A430" s="2" t="s">
        <v>1303</v>
      </c>
      <c r="B430" s="3" t="s">
        <v>1304</v>
      </c>
      <c r="C430" s="93" t="s">
        <v>1305</v>
      </c>
      <c r="D430" s="94"/>
      <c r="E430" s="3" t="s">
        <v>52</v>
      </c>
      <c r="F430" s="25">
        <v>1</v>
      </c>
      <c r="G430" s="25">
        <v>0</v>
      </c>
      <c r="H430" s="25">
        <f t="shared" si="398"/>
        <v>0</v>
      </c>
      <c r="I430" s="25">
        <f t="shared" si="399"/>
        <v>0</v>
      </c>
      <c r="J430" s="25">
        <f t="shared" si="400"/>
        <v>0</v>
      </c>
      <c r="K430" s="26" t="s">
        <v>53</v>
      </c>
      <c r="Z430" s="25">
        <f t="shared" si="401"/>
        <v>0</v>
      </c>
      <c r="AB430" s="25">
        <f t="shared" si="402"/>
        <v>0</v>
      </c>
      <c r="AC430" s="25">
        <f t="shared" si="403"/>
        <v>0</v>
      </c>
      <c r="AD430" s="25">
        <f t="shared" si="404"/>
        <v>0</v>
      </c>
      <c r="AE430" s="25">
        <f t="shared" si="405"/>
        <v>0</v>
      </c>
      <c r="AF430" s="25">
        <f t="shared" si="406"/>
        <v>0</v>
      </c>
      <c r="AG430" s="25">
        <f t="shared" si="407"/>
        <v>0</v>
      </c>
      <c r="AH430" s="25">
        <f t="shared" si="408"/>
        <v>0</v>
      </c>
      <c r="AI430" s="11" t="s">
        <v>46</v>
      </c>
      <c r="AJ430" s="25">
        <f t="shared" si="409"/>
        <v>0</v>
      </c>
      <c r="AK430" s="25">
        <f t="shared" si="410"/>
        <v>0</v>
      </c>
      <c r="AL430" s="25">
        <f t="shared" si="411"/>
        <v>0</v>
      </c>
      <c r="AN430" s="25">
        <v>21</v>
      </c>
      <c r="AO430" s="25">
        <f t="shared" si="420"/>
        <v>0</v>
      </c>
      <c r="AP430" s="25">
        <f t="shared" si="421"/>
        <v>0</v>
      </c>
      <c r="AQ430" s="27" t="s">
        <v>76</v>
      </c>
      <c r="AV430" s="25">
        <f t="shared" si="412"/>
        <v>0</v>
      </c>
      <c r="AW430" s="25">
        <f t="shared" si="413"/>
        <v>0</v>
      </c>
      <c r="AX430" s="25">
        <f t="shared" si="414"/>
        <v>0</v>
      </c>
      <c r="AY430" s="27" t="s">
        <v>1244</v>
      </c>
      <c r="AZ430" s="27" t="s">
        <v>1245</v>
      </c>
      <c r="BA430" s="11" t="s">
        <v>56</v>
      </c>
      <c r="BC430" s="25">
        <f t="shared" si="415"/>
        <v>0</v>
      </c>
      <c r="BD430" s="25">
        <f t="shared" si="416"/>
        <v>0</v>
      </c>
      <c r="BE430" s="25">
        <v>0</v>
      </c>
      <c r="BF430" s="25">
        <f>430</f>
        <v>430</v>
      </c>
      <c r="BH430" s="25">
        <f t="shared" si="417"/>
        <v>0</v>
      </c>
      <c r="BI430" s="25">
        <f t="shared" si="418"/>
        <v>0</v>
      </c>
      <c r="BJ430" s="25">
        <f t="shared" si="419"/>
        <v>0</v>
      </c>
      <c r="BK430" s="27" t="s">
        <v>57</v>
      </c>
      <c r="BL430" s="25">
        <v>731</v>
      </c>
      <c r="BW430" s="25">
        <v>21</v>
      </c>
      <c r="BX430" s="5" t="s">
        <v>1305</v>
      </c>
    </row>
    <row r="431" spans="1:76" x14ac:dyDescent="0.25">
      <c r="A431" s="2" t="s">
        <v>1306</v>
      </c>
      <c r="B431" s="3" t="s">
        <v>1307</v>
      </c>
      <c r="C431" s="93" t="s">
        <v>1308</v>
      </c>
      <c r="D431" s="94"/>
      <c r="E431" s="3" t="s">
        <v>52</v>
      </c>
      <c r="F431" s="25">
        <v>1</v>
      </c>
      <c r="G431" s="25">
        <v>0</v>
      </c>
      <c r="H431" s="25">
        <f t="shared" si="398"/>
        <v>0</v>
      </c>
      <c r="I431" s="25">
        <f t="shared" si="399"/>
        <v>0</v>
      </c>
      <c r="J431" s="25">
        <f t="shared" si="400"/>
        <v>0</v>
      </c>
      <c r="K431" s="26" t="s">
        <v>53</v>
      </c>
      <c r="Z431" s="25">
        <f t="shared" si="401"/>
        <v>0</v>
      </c>
      <c r="AB431" s="25">
        <f t="shared" si="402"/>
        <v>0</v>
      </c>
      <c r="AC431" s="25">
        <f t="shared" si="403"/>
        <v>0</v>
      </c>
      <c r="AD431" s="25">
        <f t="shared" si="404"/>
        <v>0</v>
      </c>
      <c r="AE431" s="25">
        <f t="shared" si="405"/>
        <v>0</v>
      </c>
      <c r="AF431" s="25">
        <f t="shared" si="406"/>
        <v>0</v>
      </c>
      <c r="AG431" s="25">
        <f t="shared" si="407"/>
        <v>0</v>
      </c>
      <c r="AH431" s="25">
        <f t="shared" si="408"/>
        <v>0</v>
      </c>
      <c r="AI431" s="11" t="s">
        <v>46</v>
      </c>
      <c r="AJ431" s="25">
        <f t="shared" si="409"/>
        <v>0</v>
      </c>
      <c r="AK431" s="25">
        <f t="shared" si="410"/>
        <v>0</v>
      </c>
      <c r="AL431" s="25">
        <f t="shared" si="411"/>
        <v>0</v>
      </c>
      <c r="AN431" s="25">
        <v>21</v>
      </c>
      <c r="AO431" s="25">
        <f t="shared" si="420"/>
        <v>0</v>
      </c>
      <c r="AP431" s="25">
        <f t="shared" si="421"/>
        <v>0</v>
      </c>
      <c r="AQ431" s="27" t="s">
        <v>76</v>
      </c>
      <c r="AV431" s="25">
        <f t="shared" si="412"/>
        <v>0</v>
      </c>
      <c r="AW431" s="25">
        <f t="shared" si="413"/>
        <v>0</v>
      </c>
      <c r="AX431" s="25">
        <f t="shared" si="414"/>
        <v>0</v>
      </c>
      <c r="AY431" s="27" t="s">
        <v>1244</v>
      </c>
      <c r="AZ431" s="27" t="s">
        <v>1245</v>
      </c>
      <c r="BA431" s="11" t="s">
        <v>56</v>
      </c>
      <c r="BC431" s="25">
        <f t="shared" si="415"/>
        <v>0</v>
      </c>
      <c r="BD431" s="25">
        <f t="shared" si="416"/>
        <v>0</v>
      </c>
      <c r="BE431" s="25">
        <v>0</v>
      </c>
      <c r="BF431" s="25">
        <f>431</f>
        <v>431</v>
      </c>
      <c r="BH431" s="25">
        <f t="shared" si="417"/>
        <v>0</v>
      </c>
      <c r="BI431" s="25">
        <f t="shared" si="418"/>
        <v>0</v>
      </c>
      <c r="BJ431" s="25">
        <f t="shared" si="419"/>
        <v>0</v>
      </c>
      <c r="BK431" s="27" t="s">
        <v>57</v>
      </c>
      <c r="BL431" s="25">
        <v>731</v>
      </c>
      <c r="BW431" s="25">
        <v>21</v>
      </c>
      <c r="BX431" s="5" t="s">
        <v>1308</v>
      </c>
    </row>
    <row r="432" spans="1:76" x14ac:dyDescent="0.25">
      <c r="A432" s="2" t="s">
        <v>1309</v>
      </c>
      <c r="B432" s="3" t="s">
        <v>1310</v>
      </c>
      <c r="C432" s="93" t="s">
        <v>1311</v>
      </c>
      <c r="D432" s="94"/>
      <c r="E432" s="3" t="s">
        <v>52</v>
      </c>
      <c r="F432" s="25">
        <v>1</v>
      </c>
      <c r="G432" s="25">
        <v>0</v>
      </c>
      <c r="H432" s="25">
        <f t="shared" si="398"/>
        <v>0</v>
      </c>
      <c r="I432" s="25">
        <f t="shared" si="399"/>
        <v>0</v>
      </c>
      <c r="J432" s="25">
        <f t="shared" si="400"/>
        <v>0</v>
      </c>
      <c r="K432" s="26" t="s">
        <v>53</v>
      </c>
      <c r="Z432" s="25">
        <f t="shared" si="401"/>
        <v>0</v>
      </c>
      <c r="AB432" s="25">
        <f t="shared" si="402"/>
        <v>0</v>
      </c>
      <c r="AC432" s="25">
        <f t="shared" si="403"/>
        <v>0</v>
      </c>
      <c r="AD432" s="25">
        <f t="shared" si="404"/>
        <v>0</v>
      </c>
      <c r="AE432" s="25">
        <f t="shared" si="405"/>
        <v>0</v>
      </c>
      <c r="AF432" s="25">
        <f t="shared" si="406"/>
        <v>0</v>
      </c>
      <c r="AG432" s="25">
        <f t="shared" si="407"/>
        <v>0</v>
      </c>
      <c r="AH432" s="25">
        <f t="shared" si="408"/>
        <v>0</v>
      </c>
      <c r="AI432" s="11" t="s">
        <v>46</v>
      </c>
      <c r="AJ432" s="25">
        <f t="shared" si="409"/>
        <v>0</v>
      </c>
      <c r="AK432" s="25">
        <f t="shared" si="410"/>
        <v>0</v>
      </c>
      <c r="AL432" s="25">
        <f t="shared" si="411"/>
        <v>0</v>
      </c>
      <c r="AN432" s="25">
        <v>21</v>
      </c>
      <c r="AO432" s="25">
        <f t="shared" si="420"/>
        <v>0</v>
      </c>
      <c r="AP432" s="25">
        <f t="shared" si="421"/>
        <v>0</v>
      </c>
      <c r="AQ432" s="27" t="s">
        <v>76</v>
      </c>
      <c r="AV432" s="25">
        <f t="shared" si="412"/>
        <v>0</v>
      </c>
      <c r="AW432" s="25">
        <f t="shared" si="413"/>
        <v>0</v>
      </c>
      <c r="AX432" s="25">
        <f t="shared" si="414"/>
        <v>0</v>
      </c>
      <c r="AY432" s="27" t="s">
        <v>1244</v>
      </c>
      <c r="AZ432" s="27" t="s">
        <v>1245</v>
      </c>
      <c r="BA432" s="11" t="s">
        <v>56</v>
      </c>
      <c r="BC432" s="25">
        <f t="shared" si="415"/>
        <v>0</v>
      </c>
      <c r="BD432" s="25">
        <f t="shared" si="416"/>
        <v>0</v>
      </c>
      <c r="BE432" s="25">
        <v>0</v>
      </c>
      <c r="BF432" s="25">
        <f>432</f>
        <v>432</v>
      </c>
      <c r="BH432" s="25">
        <f t="shared" si="417"/>
        <v>0</v>
      </c>
      <c r="BI432" s="25">
        <f t="shared" si="418"/>
        <v>0</v>
      </c>
      <c r="BJ432" s="25">
        <f t="shared" si="419"/>
        <v>0</v>
      </c>
      <c r="BK432" s="27" t="s">
        <v>57</v>
      </c>
      <c r="BL432" s="25">
        <v>731</v>
      </c>
      <c r="BW432" s="25">
        <v>21</v>
      </c>
      <c r="BX432" s="5" t="s">
        <v>1311</v>
      </c>
    </row>
    <row r="433" spans="1:76" x14ac:dyDescent="0.25">
      <c r="A433" s="2" t="s">
        <v>1312</v>
      </c>
      <c r="B433" s="3" t="s">
        <v>1313</v>
      </c>
      <c r="C433" s="93" t="s">
        <v>1314</v>
      </c>
      <c r="D433" s="94"/>
      <c r="E433" s="3" t="s">
        <v>52</v>
      </c>
      <c r="F433" s="25">
        <v>1</v>
      </c>
      <c r="G433" s="25">
        <v>0</v>
      </c>
      <c r="H433" s="25">
        <f t="shared" si="398"/>
        <v>0</v>
      </c>
      <c r="I433" s="25">
        <f t="shared" si="399"/>
        <v>0</v>
      </c>
      <c r="J433" s="25">
        <f t="shared" si="400"/>
        <v>0</v>
      </c>
      <c r="K433" s="26" t="s">
        <v>53</v>
      </c>
      <c r="Z433" s="25">
        <f t="shared" si="401"/>
        <v>0</v>
      </c>
      <c r="AB433" s="25">
        <f t="shared" si="402"/>
        <v>0</v>
      </c>
      <c r="AC433" s="25">
        <f t="shared" si="403"/>
        <v>0</v>
      </c>
      <c r="AD433" s="25">
        <f t="shared" si="404"/>
        <v>0</v>
      </c>
      <c r="AE433" s="25">
        <f t="shared" si="405"/>
        <v>0</v>
      </c>
      <c r="AF433" s="25">
        <f t="shared" si="406"/>
        <v>0</v>
      </c>
      <c r="AG433" s="25">
        <f t="shared" si="407"/>
        <v>0</v>
      </c>
      <c r="AH433" s="25">
        <f t="shared" si="408"/>
        <v>0</v>
      </c>
      <c r="AI433" s="11" t="s">
        <v>46</v>
      </c>
      <c r="AJ433" s="25">
        <f t="shared" si="409"/>
        <v>0</v>
      </c>
      <c r="AK433" s="25">
        <f t="shared" si="410"/>
        <v>0</v>
      </c>
      <c r="AL433" s="25">
        <f t="shared" si="411"/>
        <v>0</v>
      </c>
      <c r="AN433" s="25">
        <v>21</v>
      </c>
      <c r="AO433" s="25">
        <f t="shared" si="420"/>
        <v>0</v>
      </c>
      <c r="AP433" s="25">
        <f t="shared" si="421"/>
        <v>0</v>
      </c>
      <c r="AQ433" s="27" t="s">
        <v>76</v>
      </c>
      <c r="AV433" s="25">
        <f t="shared" si="412"/>
        <v>0</v>
      </c>
      <c r="AW433" s="25">
        <f t="shared" si="413"/>
        <v>0</v>
      </c>
      <c r="AX433" s="25">
        <f t="shared" si="414"/>
        <v>0</v>
      </c>
      <c r="AY433" s="27" t="s">
        <v>1244</v>
      </c>
      <c r="AZ433" s="27" t="s">
        <v>1245</v>
      </c>
      <c r="BA433" s="11" t="s">
        <v>56</v>
      </c>
      <c r="BC433" s="25">
        <f t="shared" si="415"/>
        <v>0</v>
      </c>
      <c r="BD433" s="25">
        <f t="shared" si="416"/>
        <v>0</v>
      </c>
      <c r="BE433" s="25">
        <v>0</v>
      </c>
      <c r="BF433" s="25">
        <f>433</f>
        <v>433</v>
      </c>
      <c r="BH433" s="25">
        <f t="shared" si="417"/>
        <v>0</v>
      </c>
      <c r="BI433" s="25">
        <f t="shared" si="418"/>
        <v>0</v>
      </c>
      <c r="BJ433" s="25">
        <f t="shared" si="419"/>
        <v>0</v>
      </c>
      <c r="BK433" s="27" t="s">
        <v>57</v>
      </c>
      <c r="BL433" s="25">
        <v>731</v>
      </c>
      <c r="BW433" s="25">
        <v>21</v>
      </c>
      <c r="BX433" s="5" t="s">
        <v>1314</v>
      </c>
    </row>
    <row r="434" spans="1:76" x14ac:dyDescent="0.25">
      <c r="A434" s="2" t="s">
        <v>1315</v>
      </c>
      <c r="B434" s="3" t="s">
        <v>1316</v>
      </c>
      <c r="C434" s="93" t="s">
        <v>1317</v>
      </c>
      <c r="D434" s="94"/>
      <c r="E434" s="3" t="s">
        <v>52</v>
      </c>
      <c r="F434" s="25">
        <v>31</v>
      </c>
      <c r="G434" s="25">
        <v>0</v>
      </c>
      <c r="H434" s="25">
        <f t="shared" si="398"/>
        <v>0</v>
      </c>
      <c r="I434" s="25">
        <f t="shared" si="399"/>
        <v>0</v>
      </c>
      <c r="J434" s="25">
        <f t="shared" si="400"/>
        <v>0</v>
      </c>
      <c r="K434" s="26" t="s">
        <v>53</v>
      </c>
      <c r="Z434" s="25">
        <f t="shared" si="401"/>
        <v>0</v>
      </c>
      <c r="AB434" s="25">
        <f t="shared" si="402"/>
        <v>0</v>
      </c>
      <c r="AC434" s="25">
        <f t="shared" si="403"/>
        <v>0</v>
      </c>
      <c r="AD434" s="25">
        <f t="shared" si="404"/>
        <v>0</v>
      </c>
      <c r="AE434" s="25">
        <f t="shared" si="405"/>
        <v>0</v>
      </c>
      <c r="AF434" s="25">
        <f t="shared" si="406"/>
        <v>0</v>
      </c>
      <c r="AG434" s="25">
        <f t="shared" si="407"/>
        <v>0</v>
      </c>
      <c r="AH434" s="25">
        <f t="shared" si="408"/>
        <v>0</v>
      </c>
      <c r="AI434" s="11" t="s">
        <v>46</v>
      </c>
      <c r="AJ434" s="25">
        <f t="shared" si="409"/>
        <v>0</v>
      </c>
      <c r="AK434" s="25">
        <f t="shared" si="410"/>
        <v>0</v>
      </c>
      <c r="AL434" s="25">
        <f t="shared" si="411"/>
        <v>0</v>
      </c>
      <c r="AN434" s="25">
        <v>21</v>
      </c>
      <c r="AO434" s="25">
        <f t="shared" si="420"/>
        <v>0</v>
      </c>
      <c r="AP434" s="25">
        <f t="shared" si="421"/>
        <v>0</v>
      </c>
      <c r="AQ434" s="27" t="s">
        <v>76</v>
      </c>
      <c r="AV434" s="25">
        <f t="shared" si="412"/>
        <v>0</v>
      </c>
      <c r="AW434" s="25">
        <f t="shared" si="413"/>
        <v>0</v>
      </c>
      <c r="AX434" s="25">
        <f t="shared" si="414"/>
        <v>0</v>
      </c>
      <c r="AY434" s="27" t="s">
        <v>1244</v>
      </c>
      <c r="AZ434" s="27" t="s">
        <v>1245</v>
      </c>
      <c r="BA434" s="11" t="s">
        <v>56</v>
      </c>
      <c r="BC434" s="25">
        <f t="shared" si="415"/>
        <v>0</v>
      </c>
      <c r="BD434" s="25">
        <f t="shared" si="416"/>
        <v>0</v>
      </c>
      <c r="BE434" s="25">
        <v>0</v>
      </c>
      <c r="BF434" s="25">
        <f>434</f>
        <v>434</v>
      </c>
      <c r="BH434" s="25">
        <f t="shared" si="417"/>
        <v>0</v>
      </c>
      <c r="BI434" s="25">
        <f t="shared" si="418"/>
        <v>0</v>
      </c>
      <c r="BJ434" s="25">
        <f t="shared" si="419"/>
        <v>0</v>
      </c>
      <c r="BK434" s="27" t="s">
        <v>57</v>
      </c>
      <c r="BL434" s="25">
        <v>731</v>
      </c>
      <c r="BW434" s="25">
        <v>21</v>
      </c>
      <c r="BX434" s="5" t="s">
        <v>1317</v>
      </c>
    </row>
    <row r="435" spans="1:76" ht="25.5" x14ac:dyDescent="0.25">
      <c r="A435" s="2" t="s">
        <v>1318</v>
      </c>
      <c r="B435" s="3" t="s">
        <v>1319</v>
      </c>
      <c r="C435" s="93" t="s">
        <v>1320</v>
      </c>
      <c r="D435" s="94"/>
      <c r="E435" s="3" t="s">
        <v>52</v>
      </c>
      <c r="F435" s="25">
        <v>32</v>
      </c>
      <c r="G435" s="25">
        <v>0</v>
      </c>
      <c r="H435" s="25">
        <f t="shared" si="398"/>
        <v>0</v>
      </c>
      <c r="I435" s="25">
        <f t="shared" si="399"/>
        <v>0</v>
      </c>
      <c r="J435" s="25">
        <f t="shared" si="400"/>
        <v>0</v>
      </c>
      <c r="K435" s="26" t="s">
        <v>53</v>
      </c>
      <c r="Z435" s="25">
        <f t="shared" si="401"/>
        <v>0</v>
      </c>
      <c r="AB435" s="25">
        <f t="shared" si="402"/>
        <v>0</v>
      </c>
      <c r="AC435" s="25">
        <f t="shared" si="403"/>
        <v>0</v>
      </c>
      <c r="AD435" s="25">
        <f t="shared" si="404"/>
        <v>0</v>
      </c>
      <c r="AE435" s="25">
        <f t="shared" si="405"/>
        <v>0</v>
      </c>
      <c r="AF435" s="25">
        <f t="shared" si="406"/>
        <v>0</v>
      </c>
      <c r="AG435" s="25">
        <f t="shared" si="407"/>
        <v>0</v>
      </c>
      <c r="AH435" s="25">
        <f t="shared" si="408"/>
        <v>0</v>
      </c>
      <c r="AI435" s="11" t="s">
        <v>46</v>
      </c>
      <c r="AJ435" s="25">
        <f t="shared" si="409"/>
        <v>0</v>
      </c>
      <c r="AK435" s="25">
        <f t="shared" si="410"/>
        <v>0</v>
      </c>
      <c r="AL435" s="25">
        <f t="shared" si="411"/>
        <v>0</v>
      </c>
      <c r="AN435" s="25">
        <v>21</v>
      </c>
      <c r="AO435" s="25">
        <f t="shared" si="420"/>
        <v>0</v>
      </c>
      <c r="AP435" s="25">
        <f t="shared" si="421"/>
        <v>0</v>
      </c>
      <c r="AQ435" s="27" t="s">
        <v>76</v>
      </c>
      <c r="AV435" s="25">
        <f t="shared" si="412"/>
        <v>0</v>
      </c>
      <c r="AW435" s="25">
        <f t="shared" si="413"/>
        <v>0</v>
      </c>
      <c r="AX435" s="25">
        <f t="shared" si="414"/>
        <v>0</v>
      </c>
      <c r="AY435" s="27" t="s">
        <v>1244</v>
      </c>
      <c r="AZ435" s="27" t="s">
        <v>1245</v>
      </c>
      <c r="BA435" s="11" t="s">
        <v>56</v>
      </c>
      <c r="BC435" s="25">
        <f t="shared" si="415"/>
        <v>0</v>
      </c>
      <c r="BD435" s="25">
        <f t="shared" si="416"/>
        <v>0</v>
      </c>
      <c r="BE435" s="25">
        <v>0</v>
      </c>
      <c r="BF435" s="25">
        <f>435</f>
        <v>435</v>
      </c>
      <c r="BH435" s="25">
        <f t="shared" si="417"/>
        <v>0</v>
      </c>
      <c r="BI435" s="25">
        <f t="shared" si="418"/>
        <v>0</v>
      </c>
      <c r="BJ435" s="25">
        <f t="shared" si="419"/>
        <v>0</v>
      </c>
      <c r="BK435" s="27" t="s">
        <v>57</v>
      </c>
      <c r="BL435" s="25">
        <v>731</v>
      </c>
      <c r="BW435" s="25">
        <v>21</v>
      </c>
      <c r="BX435" s="5" t="s">
        <v>1320</v>
      </c>
    </row>
    <row r="436" spans="1:76" ht="25.5" x14ac:dyDescent="0.25">
      <c r="A436" s="2" t="s">
        <v>1321</v>
      </c>
      <c r="B436" s="3" t="s">
        <v>1322</v>
      </c>
      <c r="C436" s="93" t="s">
        <v>1323</v>
      </c>
      <c r="D436" s="94"/>
      <c r="E436" s="3" t="s">
        <v>52</v>
      </c>
      <c r="F436" s="25">
        <v>32</v>
      </c>
      <c r="G436" s="25">
        <v>0</v>
      </c>
      <c r="H436" s="25">
        <f t="shared" si="398"/>
        <v>0</v>
      </c>
      <c r="I436" s="25">
        <f t="shared" si="399"/>
        <v>0</v>
      </c>
      <c r="J436" s="25">
        <f t="shared" si="400"/>
        <v>0</v>
      </c>
      <c r="K436" s="26" t="s">
        <v>53</v>
      </c>
      <c r="Z436" s="25">
        <f t="shared" si="401"/>
        <v>0</v>
      </c>
      <c r="AB436" s="25">
        <f t="shared" si="402"/>
        <v>0</v>
      </c>
      <c r="AC436" s="25">
        <f t="shared" si="403"/>
        <v>0</v>
      </c>
      <c r="AD436" s="25">
        <f t="shared" si="404"/>
        <v>0</v>
      </c>
      <c r="AE436" s="25">
        <f t="shared" si="405"/>
        <v>0</v>
      </c>
      <c r="AF436" s="25">
        <f t="shared" si="406"/>
        <v>0</v>
      </c>
      <c r="AG436" s="25">
        <f t="shared" si="407"/>
        <v>0</v>
      </c>
      <c r="AH436" s="25">
        <f t="shared" si="408"/>
        <v>0</v>
      </c>
      <c r="AI436" s="11" t="s">
        <v>46</v>
      </c>
      <c r="AJ436" s="25">
        <f t="shared" si="409"/>
        <v>0</v>
      </c>
      <c r="AK436" s="25">
        <f t="shared" si="410"/>
        <v>0</v>
      </c>
      <c r="AL436" s="25">
        <f t="shared" si="411"/>
        <v>0</v>
      </c>
      <c r="AN436" s="25">
        <v>21</v>
      </c>
      <c r="AO436" s="25">
        <f t="shared" si="420"/>
        <v>0</v>
      </c>
      <c r="AP436" s="25">
        <f t="shared" si="421"/>
        <v>0</v>
      </c>
      <c r="AQ436" s="27" t="s">
        <v>76</v>
      </c>
      <c r="AV436" s="25">
        <f t="shared" si="412"/>
        <v>0</v>
      </c>
      <c r="AW436" s="25">
        <f t="shared" si="413"/>
        <v>0</v>
      </c>
      <c r="AX436" s="25">
        <f t="shared" si="414"/>
        <v>0</v>
      </c>
      <c r="AY436" s="27" t="s">
        <v>1244</v>
      </c>
      <c r="AZ436" s="27" t="s">
        <v>1245</v>
      </c>
      <c r="BA436" s="11" t="s">
        <v>56</v>
      </c>
      <c r="BC436" s="25">
        <f t="shared" si="415"/>
        <v>0</v>
      </c>
      <c r="BD436" s="25">
        <f t="shared" si="416"/>
        <v>0</v>
      </c>
      <c r="BE436" s="25">
        <v>0</v>
      </c>
      <c r="BF436" s="25">
        <f>436</f>
        <v>436</v>
      </c>
      <c r="BH436" s="25">
        <f t="shared" si="417"/>
        <v>0</v>
      </c>
      <c r="BI436" s="25">
        <f t="shared" si="418"/>
        <v>0</v>
      </c>
      <c r="BJ436" s="25">
        <f t="shared" si="419"/>
        <v>0</v>
      </c>
      <c r="BK436" s="27" t="s">
        <v>57</v>
      </c>
      <c r="BL436" s="25">
        <v>731</v>
      </c>
      <c r="BW436" s="25">
        <v>21</v>
      </c>
      <c r="BX436" s="5" t="s">
        <v>1323</v>
      </c>
    </row>
    <row r="437" spans="1:76" ht="25.5" x14ac:dyDescent="0.25">
      <c r="A437" s="2" t="s">
        <v>1324</v>
      </c>
      <c r="B437" s="3" t="s">
        <v>1325</v>
      </c>
      <c r="C437" s="93" t="s">
        <v>1326</v>
      </c>
      <c r="D437" s="94"/>
      <c r="E437" s="3" t="s">
        <v>52</v>
      </c>
      <c r="F437" s="25">
        <v>28</v>
      </c>
      <c r="G437" s="25">
        <v>0</v>
      </c>
      <c r="H437" s="25">
        <f t="shared" si="398"/>
        <v>0</v>
      </c>
      <c r="I437" s="25">
        <f t="shared" si="399"/>
        <v>0</v>
      </c>
      <c r="J437" s="25">
        <f t="shared" si="400"/>
        <v>0</v>
      </c>
      <c r="K437" s="26" t="s">
        <v>53</v>
      </c>
      <c r="Z437" s="25">
        <f t="shared" si="401"/>
        <v>0</v>
      </c>
      <c r="AB437" s="25">
        <f t="shared" si="402"/>
        <v>0</v>
      </c>
      <c r="AC437" s="25">
        <f t="shared" si="403"/>
        <v>0</v>
      </c>
      <c r="AD437" s="25">
        <f t="shared" si="404"/>
        <v>0</v>
      </c>
      <c r="AE437" s="25">
        <f t="shared" si="405"/>
        <v>0</v>
      </c>
      <c r="AF437" s="25">
        <f t="shared" si="406"/>
        <v>0</v>
      </c>
      <c r="AG437" s="25">
        <f t="shared" si="407"/>
        <v>0</v>
      </c>
      <c r="AH437" s="25">
        <f t="shared" si="408"/>
        <v>0</v>
      </c>
      <c r="AI437" s="11" t="s">
        <v>46</v>
      </c>
      <c r="AJ437" s="25">
        <f t="shared" si="409"/>
        <v>0</v>
      </c>
      <c r="AK437" s="25">
        <f t="shared" si="410"/>
        <v>0</v>
      </c>
      <c r="AL437" s="25">
        <f t="shared" si="411"/>
        <v>0</v>
      </c>
      <c r="AN437" s="25">
        <v>21</v>
      </c>
      <c r="AO437" s="25">
        <f t="shared" si="420"/>
        <v>0</v>
      </c>
      <c r="AP437" s="25">
        <f t="shared" si="421"/>
        <v>0</v>
      </c>
      <c r="AQ437" s="27" t="s">
        <v>76</v>
      </c>
      <c r="AV437" s="25">
        <f t="shared" si="412"/>
        <v>0</v>
      </c>
      <c r="AW437" s="25">
        <f t="shared" si="413"/>
        <v>0</v>
      </c>
      <c r="AX437" s="25">
        <f t="shared" si="414"/>
        <v>0</v>
      </c>
      <c r="AY437" s="27" t="s">
        <v>1244</v>
      </c>
      <c r="AZ437" s="27" t="s">
        <v>1245</v>
      </c>
      <c r="BA437" s="11" t="s">
        <v>56</v>
      </c>
      <c r="BC437" s="25">
        <f t="shared" si="415"/>
        <v>0</v>
      </c>
      <c r="BD437" s="25">
        <f t="shared" si="416"/>
        <v>0</v>
      </c>
      <c r="BE437" s="25">
        <v>0</v>
      </c>
      <c r="BF437" s="25">
        <f>437</f>
        <v>437</v>
      </c>
      <c r="BH437" s="25">
        <f t="shared" si="417"/>
        <v>0</v>
      </c>
      <c r="BI437" s="25">
        <f t="shared" si="418"/>
        <v>0</v>
      </c>
      <c r="BJ437" s="25">
        <f t="shared" si="419"/>
        <v>0</v>
      </c>
      <c r="BK437" s="27" t="s">
        <v>57</v>
      </c>
      <c r="BL437" s="25">
        <v>731</v>
      </c>
      <c r="BW437" s="25">
        <v>21</v>
      </c>
      <c r="BX437" s="5" t="s">
        <v>1326</v>
      </c>
    </row>
    <row r="438" spans="1:76" ht="25.5" x14ac:dyDescent="0.25">
      <c r="A438" s="2" t="s">
        <v>1327</v>
      </c>
      <c r="B438" s="3" t="s">
        <v>1328</v>
      </c>
      <c r="C438" s="93" t="s">
        <v>1329</v>
      </c>
      <c r="D438" s="94"/>
      <c r="E438" s="3" t="s">
        <v>52</v>
      </c>
      <c r="F438" s="25">
        <v>4</v>
      </c>
      <c r="G438" s="25">
        <v>0</v>
      </c>
      <c r="H438" s="25">
        <f t="shared" si="398"/>
        <v>0</v>
      </c>
      <c r="I438" s="25">
        <f t="shared" si="399"/>
        <v>0</v>
      </c>
      <c r="J438" s="25">
        <f t="shared" si="400"/>
        <v>0</v>
      </c>
      <c r="K438" s="26" t="s">
        <v>53</v>
      </c>
      <c r="Z438" s="25">
        <f t="shared" si="401"/>
        <v>0</v>
      </c>
      <c r="AB438" s="25">
        <f t="shared" si="402"/>
        <v>0</v>
      </c>
      <c r="AC438" s="25">
        <f t="shared" si="403"/>
        <v>0</v>
      </c>
      <c r="AD438" s="25">
        <f t="shared" si="404"/>
        <v>0</v>
      </c>
      <c r="AE438" s="25">
        <f t="shared" si="405"/>
        <v>0</v>
      </c>
      <c r="AF438" s="25">
        <f t="shared" si="406"/>
        <v>0</v>
      </c>
      <c r="AG438" s="25">
        <f t="shared" si="407"/>
        <v>0</v>
      </c>
      <c r="AH438" s="25">
        <f t="shared" si="408"/>
        <v>0</v>
      </c>
      <c r="AI438" s="11" t="s">
        <v>46</v>
      </c>
      <c r="AJ438" s="25">
        <f t="shared" si="409"/>
        <v>0</v>
      </c>
      <c r="AK438" s="25">
        <f t="shared" si="410"/>
        <v>0</v>
      </c>
      <c r="AL438" s="25">
        <f t="shared" si="411"/>
        <v>0</v>
      </c>
      <c r="AN438" s="25">
        <v>21</v>
      </c>
      <c r="AO438" s="25">
        <f t="shared" si="420"/>
        <v>0</v>
      </c>
      <c r="AP438" s="25">
        <f t="shared" si="421"/>
        <v>0</v>
      </c>
      <c r="AQ438" s="27" t="s">
        <v>76</v>
      </c>
      <c r="AV438" s="25">
        <f t="shared" si="412"/>
        <v>0</v>
      </c>
      <c r="AW438" s="25">
        <f t="shared" si="413"/>
        <v>0</v>
      </c>
      <c r="AX438" s="25">
        <f t="shared" si="414"/>
        <v>0</v>
      </c>
      <c r="AY438" s="27" t="s">
        <v>1244</v>
      </c>
      <c r="AZ438" s="27" t="s">
        <v>1245</v>
      </c>
      <c r="BA438" s="11" t="s">
        <v>56</v>
      </c>
      <c r="BC438" s="25">
        <f t="shared" si="415"/>
        <v>0</v>
      </c>
      <c r="BD438" s="25">
        <f t="shared" si="416"/>
        <v>0</v>
      </c>
      <c r="BE438" s="25">
        <v>0</v>
      </c>
      <c r="BF438" s="25">
        <f>438</f>
        <v>438</v>
      </c>
      <c r="BH438" s="25">
        <f t="shared" si="417"/>
        <v>0</v>
      </c>
      <c r="BI438" s="25">
        <f t="shared" si="418"/>
        <v>0</v>
      </c>
      <c r="BJ438" s="25">
        <f t="shared" si="419"/>
        <v>0</v>
      </c>
      <c r="BK438" s="27" t="s">
        <v>57</v>
      </c>
      <c r="BL438" s="25">
        <v>731</v>
      </c>
      <c r="BW438" s="25">
        <v>21</v>
      </c>
      <c r="BX438" s="5" t="s">
        <v>1329</v>
      </c>
    </row>
    <row r="439" spans="1:76" x14ac:dyDescent="0.25">
      <c r="A439" s="2" t="s">
        <v>1330</v>
      </c>
      <c r="B439" s="3" t="s">
        <v>1331</v>
      </c>
      <c r="C439" s="93" t="s">
        <v>1332</v>
      </c>
      <c r="D439" s="94"/>
      <c r="E439" s="3" t="s">
        <v>52</v>
      </c>
      <c r="F439" s="25">
        <v>32</v>
      </c>
      <c r="G439" s="25">
        <v>0</v>
      </c>
      <c r="H439" s="25">
        <f t="shared" si="398"/>
        <v>0</v>
      </c>
      <c r="I439" s="25">
        <f t="shared" si="399"/>
        <v>0</v>
      </c>
      <c r="J439" s="25">
        <f t="shared" si="400"/>
        <v>0</v>
      </c>
      <c r="K439" s="26" t="s">
        <v>53</v>
      </c>
      <c r="Z439" s="25">
        <f t="shared" si="401"/>
        <v>0</v>
      </c>
      <c r="AB439" s="25">
        <f t="shared" si="402"/>
        <v>0</v>
      </c>
      <c r="AC439" s="25">
        <f t="shared" si="403"/>
        <v>0</v>
      </c>
      <c r="AD439" s="25">
        <f t="shared" si="404"/>
        <v>0</v>
      </c>
      <c r="AE439" s="25">
        <f t="shared" si="405"/>
        <v>0</v>
      </c>
      <c r="AF439" s="25">
        <f t="shared" si="406"/>
        <v>0</v>
      </c>
      <c r="AG439" s="25">
        <f t="shared" si="407"/>
        <v>0</v>
      </c>
      <c r="AH439" s="25">
        <f t="shared" si="408"/>
        <v>0</v>
      </c>
      <c r="AI439" s="11" t="s">
        <v>46</v>
      </c>
      <c r="AJ439" s="25">
        <f t="shared" si="409"/>
        <v>0</v>
      </c>
      <c r="AK439" s="25">
        <f t="shared" si="410"/>
        <v>0</v>
      </c>
      <c r="AL439" s="25">
        <f t="shared" si="411"/>
        <v>0</v>
      </c>
      <c r="AN439" s="25">
        <v>21</v>
      </c>
      <c r="AO439" s="25">
        <f t="shared" si="420"/>
        <v>0</v>
      </c>
      <c r="AP439" s="25">
        <f t="shared" si="421"/>
        <v>0</v>
      </c>
      <c r="AQ439" s="27" t="s">
        <v>76</v>
      </c>
      <c r="AV439" s="25">
        <f t="shared" si="412"/>
        <v>0</v>
      </c>
      <c r="AW439" s="25">
        <f t="shared" si="413"/>
        <v>0</v>
      </c>
      <c r="AX439" s="25">
        <f t="shared" si="414"/>
        <v>0</v>
      </c>
      <c r="AY439" s="27" t="s">
        <v>1244</v>
      </c>
      <c r="AZ439" s="27" t="s">
        <v>1245</v>
      </c>
      <c r="BA439" s="11" t="s">
        <v>56</v>
      </c>
      <c r="BC439" s="25">
        <f t="shared" si="415"/>
        <v>0</v>
      </c>
      <c r="BD439" s="25">
        <f t="shared" si="416"/>
        <v>0</v>
      </c>
      <c r="BE439" s="25">
        <v>0</v>
      </c>
      <c r="BF439" s="25">
        <f>439</f>
        <v>439</v>
      </c>
      <c r="BH439" s="25">
        <f t="shared" si="417"/>
        <v>0</v>
      </c>
      <c r="BI439" s="25">
        <f t="shared" si="418"/>
        <v>0</v>
      </c>
      <c r="BJ439" s="25">
        <f t="shared" si="419"/>
        <v>0</v>
      </c>
      <c r="BK439" s="27" t="s">
        <v>57</v>
      </c>
      <c r="BL439" s="25">
        <v>731</v>
      </c>
      <c r="BW439" s="25">
        <v>21</v>
      </c>
      <c r="BX439" s="5" t="s">
        <v>1332</v>
      </c>
    </row>
    <row r="440" spans="1:76" x14ac:dyDescent="0.25">
      <c r="A440" s="2" t="s">
        <v>1333</v>
      </c>
      <c r="B440" s="3" t="s">
        <v>1334</v>
      </c>
      <c r="C440" s="93" t="s">
        <v>1335</v>
      </c>
      <c r="D440" s="94"/>
      <c r="E440" s="3" t="s">
        <v>52</v>
      </c>
      <c r="F440" s="25">
        <v>32</v>
      </c>
      <c r="G440" s="25">
        <v>0</v>
      </c>
      <c r="H440" s="25">
        <f t="shared" si="398"/>
        <v>0</v>
      </c>
      <c r="I440" s="25">
        <f t="shared" si="399"/>
        <v>0</v>
      </c>
      <c r="J440" s="25">
        <f t="shared" si="400"/>
        <v>0</v>
      </c>
      <c r="K440" s="26" t="s">
        <v>53</v>
      </c>
      <c r="Z440" s="25">
        <f t="shared" si="401"/>
        <v>0</v>
      </c>
      <c r="AB440" s="25">
        <f t="shared" si="402"/>
        <v>0</v>
      </c>
      <c r="AC440" s="25">
        <f t="shared" si="403"/>
        <v>0</v>
      </c>
      <c r="AD440" s="25">
        <f t="shared" si="404"/>
        <v>0</v>
      </c>
      <c r="AE440" s="25">
        <f t="shared" si="405"/>
        <v>0</v>
      </c>
      <c r="AF440" s="25">
        <f t="shared" si="406"/>
        <v>0</v>
      </c>
      <c r="AG440" s="25">
        <f t="shared" si="407"/>
        <v>0</v>
      </c>
      <c r="AH440" s="25">
        <f t="shared" si="408"/>
        <v>0</v>
      </c>
      <c r="AI440" s="11" t="s">
        <v>46</v>
      </c>
      <c r="AJ440" s="25">
        <f t="shared" si="409"/>
        <v>0</v>
      </c>
      <c r="AK440" s="25">
        <f t="shared" si="410"/>
        <v>0</v>
      </c>
      <c r="AL440" s="25">
        <f t="shared" si="411"/>
        <v>0</v>
      </c>
      <c r="AN440" s="25">
        <v>21</v>
      </c>
      <c r="AO440" s="25">
        <f t="shared" si="420"/>
        <v>0</v>
      </c>
      <c r="AP440" s="25">
        <f t="shared" si="421"/>
        <v>0</v>
      </c>
      <c r="AQ440" s="27" t="s">
        <v>76</v>
      </c>
      <c r="AV440" s="25">
        <f t="shared" si="412"/>
        <v>0</v>
      </c>
      <c r="AW440" s="25">
        <f t="shared" si="413"/>
        <v>0</v>
      </c>
      <c r="AX440" s="25">
        <f t="shared" si="414"/>
        <v>0</v>
      </c>
      <c r="AY440" s="27" t="s">
        <v>1244</v>
      </c>
      <c r="AZ440" s="27" t="s">
        <v>1245</v>
      </c>
      <c r="BA440" s="11" t="s">
        <v>56</v>
      </c>
      <c r="BC440" s="25">
        <f t="shared" si="415"/>
        <v>0</v>
      </c>
      <c r="BD440" s="25">
        <f t="shared" si="416"/>
        <v>0</v>
      </c>
      <c r="BE440" s="25">
        <v>0</v>
      </c>
      <c r="BF440" s="25">
        <f>440</f>
        <v>440</v>
      </c>
      <c r="BH440" s="25">
        <f t="shared" si="417"/>
        <v>0</v>
      </c>
      <c r="BI440" s="25">
        <f t="shared" si="418"/>
        <v>0</v>
      </c>
      <c r="BJ440" s="25">
        <f t="shared" si="419"/>
        <v>0</v>
      </c>
      <c r="BK440" s="27" t="s">
        <v>57</v>
      </c>
      <c r="BL440" s="25">
        <v>731</v>
      </c>
      <c r="BW440" s="25">
        <v>21</v>
      </c>
      <c r="BX440" s="5" t="s">
        <v>1335</v>
      </c>
    </row>
    <row r="441" spans="1:76" x14ac:dyDescent="0.25">
      <c r="A441" s="2" t="s">
        <v>1336</v>
      </c>
      <c r="B441" s="3" t="s">
        <v>1337</v>
      </c>
      <c r="C441" s="93" t="s">
        <v>1338</v>
      </c>
      <c r="D441" s="94"/>
      <c r="E441" s="3" t="s">
        <v>52</v>
      </c>
      <c r="F441" s="25">
        <v>32</v>
      </c>
      <c r="G441" s="25">
        <v>0</v>
      </c>
      <c r="H441" s="25">
        <f t="shared" si="398"/>
        <v>0</v>
      </c>
      <c r="I441" s="25">
        <f t="shared" si="399"/>
        <v>0</v>
      </c>
      <c r="J441" s="25">
        <f t="shared" si="400"/>
        <v>0</v>
      </c>
      <c r="K441" s="26" t="s">
        <v>53</v>
      </c>
      <c r="Z441" s="25">
        <f t="shared" si="401"/>
        <v>0</v>
      </c>
      <c r="AB441" s="25">
        <f t="shared" si="402"/>
        <v>0</v>
      </c>
      <c r="AC441" s="25">
        <f t="shared" si="403"/>
        <v>0</v>
      </c>
      <c r="AD441" s="25">
        <f t="shared" si="404"/>
        <v>0</v>
      </c>
      <c r="AE441" s="25">
        <f t="shared" si="405"/>
        <v>0</v>
      </c>
      <c r="AF441" s="25">
        <f t="shared" si="406"/>
        <v>0</v>
      </c>
      <c r="AG441" s="25">
        <f t="shared" si="407"/>
        <v>0</v>
      </c>
      <c r="AH441" s="25">
        <f t="shared" si="408"/>
        <v>0</v>
      </c>
      <c r="AI441" s="11" t="s">
        <v>46</v>
      </c>
      <c r="AJ441" s="25">
        <f t="shared" si="409"/>
        <v>0</v>
      </c>
      <c r="AK441" s="25">
        <f t="shared" si="410"/>
        <v>0</v>
      </c>
      <c r="AL441" s="25">
        <f t="shared" si="411"/>
        <v>0</v>
      </c>
      <c r="AN441" s="25">
        <v>21</v>
      </c>
      <c r="AO441" s="25">
        <f t="shared" si="420"/>
        <v>0</v>
      </c>
      <c r="AP441" s="25">
        <f t="shared" si="421"/>
        <v>0</v>
      </c>
      <c r="AQ441" s="27" t="s">
        <v>76</v>
      </c>
      <c r="AV441" s="25">
        <f t="shared" si="412"/>
        <v>0</v>
      </c>
      <c r="AW441" s="25">
        <f t="shared" si="413"/>
        <v>0</v>
      </c>
      <c r="AX441" s="25">
        <f t="shared" si="414"/>
        <v>0</v>
      </c>
      <c r="AY441" s="27" t="s">
        <v>1244</v>
      </c>
      <c r="AZ441" s="27" t="s">
        <v>1245</v>
      </c>
      <c r="BA441" s="11" t="s">
        <v>56</v>
      </c>
      <c r="BC441" s="25">
        <f t="shared" si="415"/>
        <v>0</v>
      </c>
      <c r="BD441" s="25">
        <f t="shared" si="416"/>
        <v>0</v>
      </c>
      <c r="BE441" s="25">
        <v>0</v>
      </c>
      <c r="BF441" s="25">
        <f>441</f>
        <v>441</v>
      </c>
      <c r="BH441" s="25">
        <f t="shared" si="417"/>
        <v>0</v>
      </c>
      <c r="BI441" s="25">
        <f t="shared" si="418"/>
        <v>0</v>
      </c>
      <c r="BJ441" s="25">
        <f t="shared" si="419"/>
        <v>0</v>
      </c>
      <c r="BK441" s="27" t="s">
        <v>57</v>
      </c>
      <c r="BL441" s="25">
        <v>731</v>
      </c>
      <c r="BW441" s="25">
        <v>21</v>
      </c>
      <c r="BX441" s="5" t="s">
        <v>1338</v>
      </c>
    </row>
    <row r="442" spans="1:76" ht="25.5" x14ac:dyDescent="0.25">
      <c r="A442" s="2" t="s">
        <v>1339</v>
      </c>
      <c r="B442" s="3" t="s">
        <v>1340</v>
      </c>
      <c r="C442" s="93" t="s">
        <v>1341</v>
      </c>
      <c r="D442" s="94"/>
      <c r="E442" s="3" t="s">
        <v>52</v>
      </c>
      <c r="F442" s="25">
        <v>2</v>
      </c>
      <c r="G442" s="25">
        <v>0</v>
      </c>
      <c r="H442" s="25">
        <f t="shared" ref="H442:H470" si="422">ROUND(F442*AO442,2)</f>
        <v>0</v>
      </c>
      <c r="I442" s="25">
        <f t="shared" ref="I442:I470" si="423">ROUND(F442*AP442,2)</f>
        <v>0</v>
      </c>
      <c r="J442" s="25">
        <f t="shared" ref="J442:J470" si="424">ROUND(F442*G442,1)</f>
        <v>0</v>
      </c>
      <c r="K442" s="26" t="s">
        <v>53</v>
      </c>
      <c r="Z442" s="25">
        <f t="shared" ref="Z442:Z470" si="425">ROUND(IF(AQ442="5",BJ442,0),2)</f>
        <v>0</v>
      </c>
      <c r="AB442" s="25">
        <f t="shared" ref="AB442:AB470" si="426">ROUND(IF(AQ442="1",BH442,0),2)</f>
        <v>0</v>
      </c>
      <c r="AC442" s="25">
        <f t="shared" ref="AC442:AC470" si="427">ROUND(IF(AQ442="1",BI442,0),2)</f>
        <v>0</v>
      </c>
      <c r="AD442" s="25">
        <f t="shared" ref="AD442:AD470" si="428">ROUND(IF(AQ442="7",BH442,0),2)</f>
        <v>0</v>
      </c>
      <c r="AE442" s="25">
        <f t="shared" ref="AE442:AE470" si="429">ROUND(IF(AQ442="7",BI442,0),2)</f>
        <v>0</v>
      </c>
      <c r="AF442" s="25">
        <f t="shared" ref="AF442:AF470" si="430">ROUND(IF(AQ442="2",BH442,0),2)</f>
        <v>0</v>
      </c>
      <c r="AG442" s="25">
        <f t="shared" ref="AG442:AG470" si="431">ROUND(IF(AQ442="2",BI442,0),2)</f>
        <v>0</v>
      </c>
      <c r="AH442" s="25">
        <f t="shared" ref="AH442:AH470" si="432">ROUND(IF(AQ442="0",BJ442,0),2)</f>
        <v>0</v>
      </c>
      <c r="AI442" s="11" t="s">
        <v>46</v>
      </c>
      <c r="AJ442" s="25">
        <f t="shared" ref="AJ442:AJ470" si="433">IF(AN442=0,J442,0)</f>
        <v>0</v>
      </c>
      <c r="AK442" s="25">
        <f t="shared" ref="AK442:AK470" si="434">IF(AN442=12,J442,0)</f>
        <v>0</v>
      </c>
      <c r="AL442" s="25">
        <f t="shared" ref="AL442:AL470" si="435">IF(AN442=21,J442,0)</f>
        <v>0</v>
      </c>
      <c r="AN442" s="25">
        <v>21</v>
      </c>
      <c r="AO442" s="25">
        <f t="shared" si="420"/>
        <v>0</v>
      </c>
      <c r="AP442" s="25">
        <f t="shared" si="421"/>
        <v>0</v>
      </c>
      <c r="AQ442" s="27" t="s">
        <v>76</v>
      </c>
      <c r="AV442" s="25">
        <f t="shared" ref="AV442:AV470" si="436">ROUND(AW442+AX442,2)</f>
        <v>0</v>
      </c>
      <c r="AW442" s="25">
        <f t="shared" ref="AW442:AW470" si="437">ROUND(F442*AO442,2)</f>
        <v>0</v>
      </c>
      <c r="AX442" s="25">
        <f t="shared" ref="AX442:AX470" si="438">ROUND(F442*AP442,2)</f>
        <v>0</v>
      </c>
      <c r="AY442" s="27" t="s">
        <v>1244</v>
      </c>
      <c r="AZ442" s="27" t="s">
        <v>1245</v>
      </c>
      <c r="BA442" s="11" t="s">
        <v>56</v>
      </c>
      <c r="BC442" s="25">
        <f t="shared" ref="BC442:BC470" si="439">AW442+AX442</f>
        <v>0</v>
      </c>
      <c r="BD442" s="25">
        <f t="shared" ref="BD442:BD470" si="440">G442/(100-BE442)*100</f>
        <v>0</v>
      </c>
      <c r="BE442" s="25">
        <v>0</v>
      </c>
      <c r="BF442" s="25">
        <f>442</f>
        <v>442</v>
      </c>
      <c r="BH442" s="25">
        <f t="shared" ref="BH442:BH470" si="441">F442*AO442</f>
        <v>0</v>
      </c>
      <c r="BI442" s="25">
        <f t="shared" ref="BI442:BI470" si="442">F442*AP442</f>
        <v>0</v>
      </c>
      <c r="BJ442" s="25">
        <f t="shared" ref="BJ442:BJ470" si="443">F442*G442</f>
        <v>0</v>
      </c>
      <c r="BK442" s="27" t="s">
        <v>57</v>
      </c>
      <c r="BL442" s="25">
        <v>731</v>
      </c>
      <c r="BW442" s="25">
        <v>21</v>
      </c>
      <c r="BX442" s="5" t="s">
        <v>1341</v>
      </c>
    </row>
    <row r="443" spans="1:76" ht="25.5" x14ac:dyDescent="0.25">
      <c r="A443" s="2" t="s">
        <v>1342</v>
      </c>
      <c r="B443" s="3" t="s">
        <v>1343</v>
      </c>
      <c r="C443" s="93" t="s">
        <v>1344</v>
      </c>
      <c r="D443" s="94"/>
      <c r="E443" s="3" t="s">
        <v>52</v>
      </c>
      <c r="F443" s="25">
        <v>2</v>
      </c>
      <c r="G443" s="25">
        <v>0</v>
      </c>
      <c r="H443" s="25">
        <f t="shared" si="422"/>
        <v>0</v>
      </c>
      <c r="I443" s="25">
        <f t="shared" si="423"/>
        <v>0</v>
      </c>
      <c r="J443" s="25">
        <f t="shared" si="424"/>
        <v>0</v>
      </c>
      <c r="K443" s="26" t="s">
        <v>53</v>
      </c>
      <c r="Z443" s="25">
        <f t="shared" si="425"/>
        <v>0</v>
      </c>
      <c r="AB443" s="25">
        <f t="shared" si="426"/>
        <v>0</v>
      </c>
      <c r="AC443" s="25">
        <f t="shared" si="427"/>
        <v>0</v>
      </c>
      <c r="AD443" s="25">
        <f t="shared" si="428"/>
        <v>0</v>
      </c>
      <c r="AE443" s="25">
        <f t="shared" si="429"/>
        <v>0</v>
      </c>
      <c r="AF443" s="25">
        <f t="shared" si="430"/>
        <v>0</v>
      </c>
      <c r="AG443" s="25">
        <f t="shared" si="431"/>
        <v>0</v>
      </c>
      <c r="AH443" s="25">
        <f t="shared" si="432"/>
        <v>0</v>
      </c>
      <c r="AI443" s="11" t="s">
        <v>46</v>
      </c>
      <c r="AJ443" s="25">
        <f t="shared" si="433"/>
        <v>0</v>
      </c>
      <c r="AK443" s="25">
        <f t="shared" si="434"/>
        <v>0</v>
      </c>
      <c r="AL443" s="25">
        <f t="shared" si="435"/>
        <v>0</v>
      </c>
      <c r="AN443" s="25">
        <v>21</v>
      </c>
      <c r="AO443" s="25">
        <f t="shared" si="420"/>
        <v>0</v>
      </c>
      <c r="AP443" s="25">
        <f t="shared" si="421"/>
        <v>0</v>
      </c>
      <c r="AQ443" s="27" t="s">
        <v>76</v>
      </c>
      <c r="AV443" s="25">
        <f t="shared" si="436"/>
        <v>0</v>
      </c>
      <c r="AW443" s="25">
        <f t="shared" si="437"/>
        <v>0</v>
      </c>
      <c r="AX443" s="25">
        <f t="shared" si="438"/>
        <v>0</v>
      </c>
      <c r="AY443" s="27" t="s">
        <v>1244</v>
      </c>
      <c r="AZ443" s="27" t="s">
        <v>1245</v>
      </c>
      <c r="BA443" s="11" t="s">
        <v>56</v>
      </c>
      <c r="BC443" s="25">
        <f t="shared" si="439"/>
        <v>0</v>
      </c>
      <c r="BD443" s="25">
        <f t="shared" si="440"/>
        <v>0</v>
      </c>
      <c r="BE443" s="25">
        <v>0</v>
      </c>
      <c r="BF443" s="25">
        <f>443</f>
        <v>443</v>
      </c>
      <c r="BH443" s="25">
        <f t="shared" si="441"/>
        <v>0</v>
      </c>
      <c r="BI443" s="25">
        <f t="shared" si="442"/>
        <v>0</v>
      </c>
      <c r="BJ443" s="25">
        <f t="shared" si="443"/>
        <v>0</v>
      </c>
      <c r="BK443" s="27" t="s">
        <v>57</v>
      </c>
      <c r="BL443" s="25">
        <v>731</v>
      </c>
      <c r="BW443" s="25">
        <v>21</v>
      </c>
      <c r="BX443" s="5" t="s">
        <v>1344</v>
      </c>
    </row>
    <row r="444" spans="1:76" ht="25.5" x14ac:dyDescent="0.25">
      <c r="A444" s="2" t="s">
        <v>1345</v>
      </c>
      <c r="B444" s="3" t="s">
        <v>1346</v>
      </c>
      <c r="C444" s="93" t="s">
        <v>1347</v>
      </c>
      <c r="D444" s="94"/>
      <c r="E444" s="3" t="s">
        <v>52</v>
      </c>
      <c r="F444" s="25">
        <v>2</v>
      </c>
      <c r="G444" s="25">
        <v>0</v>
      </c>
      <c r="H444" s="25">
        <f t="shared" si="422"/>
        <v>0</v>
      </c>
      <c r="I444" s="25">
        <f t="shared" si="423"/>
        <v>0</v>
      </c>
      <c r="J444" s="25">
        <f t="shared" si="424"/>
        <v>0</v>
      </c>
      <c r="K444" s="26" t="s">
        <v>53</v>
      </c>
      <c r="Z444" s="25">
        <f t="shared" si="425"/>
        <v>0</v>
      </c>
      <c r="AB444" s="25">
        <f t="shared" si="426"/>
        <v>0</v>
      </c>
      <c r="AC444" s="25">
        <f t="shared" si="427"/>
        <v>0</v>
      </c>
      <c r="AD444" s="25">
        <f t="shared" si="428"/>
        <v>0</v>
      </c>
      <c r="AE444" s="25">
        <f t="shared" si="429"/>
        <v>0</v>
      </c>
      <c r="AF444" s="25">
        <f t="shared" si="430"/>
        <v>0</v>
      </c>
      <c r="AG444" s="25">
        <f t="shared" si="431"/>
        <v>0</v>
      </c>
      <c r="AH444" s="25">
        <f t="shared" si="432"/>
        <v>0</v>
      </c>
      <c r="AI444" s="11" t="s">
        <v>46</v>
      </c>
      <c r="AJ444" s="25">
        <f t="shared" si="433"/>
        <v>0</v>
      </c>
      <c r="AK444" s="25">
        <f t="shared" si="434"/>
        <v>0</v>
      </c>
      <c r="AL444" s="25">
        <f t="shared" si="435"/>
        <v>0</v>
      </c>
      <c r="AN444" s="25">
        <v>21</v>
      </c>
      <c r="AO444" s="25">
        <f t="shared" si="420"/>
        <v>0</v>
      </c>
      <c r="AP444" s="25">
        <f t="shared" si="421"/>
        <v>0</v>
      </c>
      <c r="AQ444" s="27" t="s">
        <v>76</v>
      </c>
      <c r="AV444" s="25">
        <f t="shared" si="436"/>
        <v>0</v>
      </c>
      <c r="AW444" s="25">
        <f t="shared" si="437"/>
        <v>0</v>
      </c>
      <c r="AX444" s="25">
        <f t="shared" si="438"/>
        <v>0</v>
      </c>
      <c r="AY444" s="27" t="s">
        <v>1244</v>
      </c>
      <c r="AZ444" s="27" t="s">
        <v>1245</v>
      </c>
      <c r="BA444" s="11" t="s">
        <v>56</v>
      </c>
      <c r="BC444" s="25">
        <f t="shared" si="439"/>
        <v>0</v>
      </c>
      <c r="BD444" s="25">
        <f t="shared" si="440"/>
        <v>0</v>
      </c>
      <c r="BE444" s="25">
        <v>0</v>
      </c>
      <c r="BF444" s="25">
        <f>444</f>
        <v>444</v>
      </c>
      <c r="BH444" s="25">
        <f t="shared" si="441"/>
        <v>0</v>
      </c>
      <c r="BI444" s="25">
        <f t="shared" si="442"/>
        <v>0</v>
      </c>
      <c r="BJ444" s="25">
        <f t="shared" si="443"/>
        <v>0</v>
      </c>
      <c r="BK444" s="27" t="s">
        <v>57</v>
      </c>
      <c r="BL444" s="25">
        <v>731</v>
      </c>
      <c r="BW444" s="25">
        <v>21</v>
      </c>
      <c r="BX444" s="5" t="s">
        <v>1347</v>
      </c>
    </row>
    <row r="445" spans="1:76" ht="25.5" x14ac:dyDescent="0.25">
      <c r="A445" s="2" t="s">
        <v>1348</v>
      </c>
      <c r="B445" s="3" t="s">
        <v>1349</v>
      </c>
      <c r="C445" s="93" t="s">
        <v>1350</v>
      </c>
      <c r="D445" s="94"/>
      <c r="E445" s="3" t="s">
        <v>52</v>
      </c>
      <c r="F445" s="25">
        <v>8</v>
      </c>
      <c r="G445" s="25">
        <v>0</v>
      </c>
      <c r="H445" s="25">
        <f t="shared" si="422"/>
        <v>0</v>
      </c>
      <c r="I445" s="25">
        <f t="shared" si="423"/>
        <v>0</v>
      </c>
      <c r="J445" s="25">
        <f t="shared" si="424"/>
        <v>0</v>
      </c>
      <c r="K445" s="26" t="s">
        <v>53</v>
      </c>
      <c r="Z445" s="25">
        <f t="shared" si="425"/>
        <v>0</v>
      </c>
      <c r="AB445" s="25">
        <f t="shared" si="426"/>
        <v>0</v>
      </c>
      <c r="AC445" s="25">
        <f t="shared" si="427"/>
        <v>0</v>
      </c>
      <c r="AD445" s="25">
        <f t="shared" si="428"/>
        <v>0</v>
      </c>
      <c r="AE445" s="25">
        <f t="shared" si="429"/>
        <v>0</v>
      </c>
      <c r="AF445" s="25">
        <f t="shared" si="430"/>
        <v>0</v>
      </c>
      <c r="AG445" s="25">
        <f t="shared" si="431"/>
        <v>0</v>
      </c>
      <c r="AH445" s="25">
        <f t="shared" si="432"/>
        <v>0</v>
      </c>
      <c r="AI445" s="11" t="s">
        <v>46</v>
      </c>
      <c r="AJ445" s="25">
        <f t="shared" si="433"/>
        <v>0</v>
      </c>
      <c r="AK445" s="25">
        <f t="shared" si="434"/>
        <v>0</v>
      </c>
      <c r="AL445" s="25">
        <f t="shared" si="435"/>
        <v>0</v>
      </c>
      <c r="AN445" s="25">
        <v>21</v>
      </c>
      <c r="AO445" s="25">
        <f t="shared" si="420"/>
        <v>0</v>
      </c>
      <c r="AP445" s="25">
        <f t="shared" si="421"/>
        <v>0</v>
      </c>
      <c r="AQ445" s="27" t="s">
        <v>76</v>
      </c>
      <c r="AV445" s="25">
        <f t="shared" si="436"/>
        <v>0</v>
      </c>
      <c r="AW445" s="25">
        <f t="shared" si="437"/>
        <v>0</v>
      </c>
      <c r="AX445" s="25">
        <f t="shared" si="438"/>
        <v>0</v>
      </c>
      <c r="AY445" s="27" t="s">
        <v>1244</v>
      </c>
      <c r="AZ445" s="27" t="s">
        <v>1245</v>
      </c>
      <c r="BA445" s="11" t="s">
        <v>56</v>
      </c>
      <c r="BC445" s="25">
        <f t="shared" si="439"/>
        <v>0</v>
      </c>
      <c r="BD445" s="25">
        <f t="shared" si="440"/>
        <v>0</v>
      </c>
      <c r="BE445" s="25">
        <v>0</v>
      </c>
      <c r="BF445" s="25">
        <f>445</f>
        <v>445</v>
      </c>
      <c r="BH445" s="25">
        <f t="shared" si="441"/>
        <v>0</v>
      </c>
      <c r="BI445" s="25">
        <f t="shared" si="442"/>
        <v>0</v>
      </c>
      <c r="BJ445" s="25">
        <f t="shared" si="443"/>
        <v>0</v>
      </c>
      <c r="BK445" s="27" t="s">
        <v>57</v>
      </c>
      <c r="BL445" s="25">
        <v>731</v>
      </c>
      <c r="BW445" s="25">
        <v>21</v>
      </c>
      <c r="BX445" s="5" t="s">
        <v>1350</v>
      </c>
    </row>
    <row r="446" spans="1:76" x14ac:dyDescent="0.25">
      <c r="A446" s="2" t="s">
        <v>1351</v>
      </c>
      <c r="B446" s="3" t="s">
        <v>1352</v>
      </c>
      <c r="C446" s="93" t="s">
        <v>1353</v>
      </c>
      <c r="D446" s="94"/>
      <c r="E446" s="3" t="s">
        <v>52</v>
      </c>
      <c r="F446" s="25">
        <v>8</v>
      </c>
      <c r="G446" s="25">
        <v>0</v>
      </c>
      <c r="H446" s="25">
        <f t="shared" si="422"/>
        <v>0</v>
      </c>
      <c r="I446" s="25">
        <f t="shared" si="423"/>
        <v>0</v>
      </c>
      <c r="J446" s="25">
        <f t="shared" si="424"/>
        <v>0</v>
      </c>
      <c r="K446" s="26" t="s">
        <v>53</v>
      </c>
      <c r="Z446" s="25">
        <f t="shared" si="425"/>
        <v>0</v>
      </c>
      <c r="AB446" s="25">
        <f t="shared" si="426"/>
        <v>0</v>
      </c>
      <c r="AC446" s="25">
        <f t="shared" si="427"/>
        <v>0</v>
      </c>
      <c r="AD446" s="25">
        <f t="shared" si="428"/>
        <v>0</v>
      </c>
      <c r="AE446" s="25">
        <f t="shared" si="429"/>
        <v>0</v>
      </c>
      <c r="AF446" s="25">
        <f t="shared" si="430"/>
        <v>0</v>
      </c>
      <c r="AG446" s="25">
        <f t="shared" si="431"/>
        <v>0</v>
      </c>
      <c r="AH446" s="25">
        <f t="shared" si="432"/>
        <v>0</v>
      </c>
      <c r="AI446" s="11" t="s">
        <v>46</v>
      </c>
      <c r="AJ446" s="25">
        <f t="shared" si="433"/>
        <v>0</v>
      </c>
      <c r="AK446" s="25">
        <f t="shared" si="434"/>
        <v>0</v>
      </c>
      <c r="AL446" s="25">
        <f t="shared" si="435"/>
        <v>0</v>
      </c>
      <c r="AN446" s="25">
        <v>21</v>
      </c>
      <c r="AO446" s="25">
        <f t="shared" si="420"/>
        <v>0</v>
      </c>
      <c r="AP446" s="25">
        <f t="shared" si="421"/>
        <v>0</v>
      </c>
      <c r="AQ446" s="27" t="s">
        <v>76</v>
      </c>
      <c r="AV446" s="25">
        <f t="shared" si="436"/>
        <v>0</v>
      </c>
      <c r="AW446" s="25">
        <f t="shared" si="437"/>
        <v>0</v>
      </c>
      <c r="AX446" s="25">
        <f t="shared" si="438"/>
        <v>0</v>
      </c>
      <c r="AY446" s="27" t="s">
        <v>1244</v>
      </c>
      <c r="AZ446" s="27" t="s">
        <v>1245</v>
      </c>
      <c r="BA446" s="11" t="s">
        <v>56</v>
      </c>
      <c r="BC446" s="25">
        <f t="shared" si="439"/>
        <v>0</v>
      </c>
      <c r="BD446" s="25">
        <f t="shared" si="440"/>
        <v>0</v>
      </c>
      <c r="BE446" s="25">
        <v>0</v>
      </c>
      <c r="BF446" s="25">
        <f>446</f>
        <v>446</v>
      </c>
      <c r="BH446" s="25">
        <f t="shared" si="441"/>
        <v>0</v>
      </c>
      <c r="BI446" s="25">
        <f t="shared" si="442"/>
        <v>0</v>
      </c>
      <c r="BJ446" s="25">
        <f t="shared" si="443"/>
        <v>0</v>
      </c>
      <c r="BK446" s="27" t="s">
        <v>57</v>
      </c>
      <c r="BL446" s="25">
        <v>731</v>
      </c>
      <c r="BW446" s="25">
        <v>21</v>
      </c>
      <c r="BX446" s="5" t="s">
        <v>1353</v>
      </c>
    </row>
    <row r="447" spans="1:76" ht="25.5" x14ac:dyDescent="0.25">
      <c r="A447" s="2" t="s">
        <v>1354</v>
      </c>
      <c r="B447" s="3" t="s">
        <v>1355</v>
      </c>
      <c r="C447" s="93" t="s">
        <v>1356</v>
      </c>
      <c r="D447" s="94"/>
      <c r="E447" s="3" t="s">
        <v>52</v>
      </c>
      <c r="F447" s="25">
        <v>1</v>
      </c>
      <c r="G447" s="25">
        <v>0</v>
      </c>
      <c r="H447" s="25">
        <f t="shared" si="422"/>
        <v>0</v>
      </c>
      <c r="I447" s="25">
        <f t="shared" si="423"/>
        <v>0</v>
      </c>
      <c r="J447" s="25">
        <f t="shared" si="424"/>
        <v>0</v>
      </c>
      <c r="K447" s="26" t="s">
        <v>53</v>
      </c>
      <c r="Z447" s="25">
        <f t="shared" si="425"/>
        <v>0</v>
      </c>
      <c r="AB447" s="25">
        <f t="shared" si="426"/>
        <v>0</v>
      </c>
      <c r="AC447" s="25">
        <f t="shared" si="427"/>
        <v>0</v>
      </c>
      <c r="AD447" s="25">
        <f t="shared" si="428"/>
        <v>0</v>
      </c>
      <c r="AE447" s="25">
        <f t="shared" si="429"/>
        <v>0</v>
      </c>
      <c r="AF447" s="25">
        <f t="shared" si="430"/>
        <v>0</v>
      </c>
      <c r="AG447" s="25">
        <f t="shared" si="431"/>
        <v>0</v>
      </c>
      <c r="AH447" s="25">
        <f t="shared" si="432"/>
        <v>0</v>
      </c>
      <c r="AI447" s="11" t="s">
        <v>46</v>
      </c>
      <c r="AJ447" s="25">
        <f t="shared" si="433"/>
        <v>0</v>
      </c>
      <c r="AK447" s="25">
        <f t="shared" si="434"/>
        <v>0</v>
      </c>
      <c r="AL447" s="25">
        <f t="shared" si="435"/>
        <v>0</v>
      </c>
      <c r="AN447" s="25">
        <v>21</v>
      </c>
      <c r="AO447" s="25">
        <f>G447*0</f>
        <v>0</v>
      </c>
      <c r="AP447" s="25">
        <f>G447*(1-0)</f>
        <v>0</v>
      </c>
      <c r="AQ447" s="27" t="s">
        <v>76</v>
      </c>
      <c r="AV447" s="25">
        <f t="shared" si="436"/>
        <v>0</v>
      </c>
      <c r="AW447" s="25">
        <f t="shared" si="437"/>
        <v>0</v>
      </c>
      <c r="AX447" s="25">
        <f t="shared" si="438"/>
        <v>0</v>
      </c>
      <c r="AY447" s="27" t="s">
        <v>1244</v>
      </c>
      <c r="AZ447" s="27" t="s">
        <v>1245</v>
      </c>
      <c r="BA447" s="11" t="s">
        <v>56</v>
      </c>
      <c r="BC447" s="25">
        <f t="shared" si="439"/>
        <v>0</v>
      </c>
      <c r="BD447" s="25">
        <f t="shared" si="440"/>
        <v>0</v>
      </c>
      <c r="BE447" s="25">
        <v>0</v>
      </c>
      <c r="BF447" s="25">
        <f>447</f>
        <v>447</v>
      </c>
      <c r="BH447" s="25">
        <f t="shared" si="441"/>
        <v>0</v>
      </c>
      <c r="BI447" s="25">
        <f t="shared" si="442"/>
        <v>0</v>
      </c>
      <c r="BJ447" s="25">
        <f t="shared" si="443"/>
        <v>0</v>
      </c>
      <c r="BK447" s="27" t="s">
        <v>57</v>
      </c>
      <c r="BL447" s="25">
        <v>731</v>
      </c>
      <c r="BW447" s="25">
        <v>21</v>
      </c>
      <c r="BX447" s="5" t="s">
        <v>1356</v>
      </c>
    </row>
    <row r="448" spans="1:76" x14ac:dyDescent="0.25">
      <c r="A448" s="2" t="s">
        <v>1357</v>
      </c>
      <c r="B448" s="3" t="s">
        <v>1358</v>
      </c>
      <c r="C448" s="93" t="s">
        <v>1359</v>
      </c>
      <c r="D448" s="94"/>
      <c r="E448" s="3" t="s">
        <v>52</v>
      </c>
      <c r="F448" s="25">
        <v>2</v>
      </c>
      <c r="G448" s="25">
        <v>0</v>
      </c>
      <c r="H448" s="25">
        <f t="shared" si="422"/>
        <v>0</v>
      </c>
      <c r="I448" s="25">
        <f t="shared" si="423"/>
        <v>0</v>
      </c>
      <c r="J448" s="25">
        <f t="shared" si="424"/>
        <v>0</v>
      </c>
      <c r="K448" s="26" t="s">
        <v>53</v>
      </c>
      <c r="Z448" s="25">
        <f t="shared" si="425"/>
        <v>0</v>
      </c>
      <c r="AB448" s="25">
        <f t="shared" si="426"/>
        <v>0</v>
      </c>
      <c r="AC448" s="25">
        <f t="shared" si="427"/>
        <v>0</v>
      </c>
      <c r="AD448" s="25">
        <f t="shared" si="428"/>
        <v>0</v>
      </c>
      <c r="AE448" s="25">
        <f t="shared" si="429"/>
        <v>0</v>
      </c>
      <c r="AF448" s="25">
        <f t="shared" si="430"/>
        <v>0</v>
      </c>
      <c r="AG448" s="25">
        <f t="shared" si="431"/>
        <v>0</v>
      </c>
      <c r="AH448" s="25">
        <f t="shared" si="432"/>
        <v>0</v>
      </c>
      <c r="AI448" s="11" t="s">
        <v>46</v>
      </c>
      <c r="AJ448" s="25">
        <f t="shared" si="433"/>
        <v>0</v>
      </c>
      <c r="AK448" s="25">
        <f t="shared" si="434"/>
        <v>0</v>
      </c>
      <c r="AL448" s="25">
        <f t="shared" si="435"/>
        <v>0</v>
      </c>
      <c r="AN448" s="25">
        <v>21</v>
      </c>
      <c r="AO448" s="25">
        <f>G448*0.55</f>
        <v>0</v>
      </c>
      <c r="AP448" s="25">
        <f>G448*(1-0.55)</f>
        <v>0</v>
      </c>
      <c r="AQ448" s="27" t="s">
        <v>76</v>
      </c>
      <c r="AV448" s="25">
        <f t="shared" si="436"/>
        <v>0</v>
      </c>
      <c r="AW448" s="25">
        <f t="shared" si="437"/>
        <v>0</v>
      </c>
      <c r="AX448" s="25">
        <f t="shared" si="438"/>
        <v>0</v>
      </c>
      <c r="AY448" s="27" t="s">
        <v>1244</v>
      </c>
      <c r="AZ448" s="27" t="s">
        <v>1245</v>
      </c>
      <c r="BA448" s="11" t="s">
        <v>56</v>
      </c>
      <c r="BC448" s="25">
        <f t="shared" si="439"/>
        <v>0</v>
      </c>
      <c r="BD448" s="25">
        <f t="shared" si="440"/>
        <v>0</v>
      </c>
      <c r="BE448" s="25">
        <v>0</v>
      </c>
      <c r="BF448" s="25">
        <f>448</f>
        <v>448</v>
      </c>
      <c r="BH448" s="25">
        <f t="shared" si="441"/>
        <v>0</v>
      </c>
      <c r="BI448" s="25">
        <f t="shared" si="442"/>
        <v>0</v>
      </c>
      <c r="BJ448" s="25">
        <f t="shared" si="443"/>
        <v>0</v>
      </c>
      <c r="BK448" s="27" t="s">
        <v>57</v>
      </c>
      <c r="BL448" s="25">
        <v>731</v>
      </c>
      <c r="BW448" s="25">
        <v>21</v>
      </c>
      <c r="BX448" s="5" t="s">
        <v>1359</v>
      </c>
    </row>
    <row r="449" spans="1:76" ht="25.5" x14ac:dyDescent="0.25">
      <c r="A449" s="2" t="s">
        <v>1360</v>
      </c>
      <c r="B449" s="3" t="s">
        <v>1361</v>
      </c>
      <c r="C449" s="93" t="s">
        <v>1362</v>
      </c>
      <c r="D449" s="94"/>
      <c r="E449" s="3" t="s">
        <v>52</v>
      </c>
      <c r="F449" s="25">
        <v>2</v>
      </c>
      <c r="G449" s="25">
        <v>0</v>
      </c>
      <c r="H449" s="25">
        <f t="shared" si="422"/>
        <v>0</v>
      </c>
      <c r="I449" s="25">
        <f t="shared" si="423"/>
        <v>0</v>
      </c>
      <c r="J449" s="25">
        <f t="shared" si="424"/>
        <v>0</v>
      </c>
      <c r="K449" s="26" t="s">
        <v>53</v>
      </c>
      <c r="Z449" s="25">
        <f t="shared" si="425"/>
        <v>0</v>
      </c>
      <c r="AB449" s="25">
        <f t="shared" si="426"/>
        <v>0</v>
      </c>
      <c r="AC449" s="25">
        <f t="shared" si="427"/>
        <v>0</v>
      </c>
      <c r="AD449" s="25">
        <f t="shared" si="428"/>
        <v>0</v>
      </c>
      <c r="AE449" s="25">
        <f t="shared" si="429"/>
        <v>0</v>
      </c>
      <c r="AF449" s="25">
        <f t="shared" si="430"/>
        <v>0</v>
      </c>
      <c r="AG449" s="25">
        <f t="shared" si="431"/>
        <v>0</v>
      </c>
      <c r="AH449" s="25">
        <f t="shared" si="432"/>
        <v>0</v>
      </c>
      <c r="AI449" s="11" t="s">
        <v>46</v>
      </c>
      <c r="AJ449" s="25">
        <f t="shared" si="433"/>
        <v>0</v>
      </c>
      <c r="AK449" s="25">
        <f t="shared" si="434"/>
        <v>0</v>
      </c>
      <c r="AL449" s="25">
        <f t="shared" si="435"/>
        <v>0</v>
      </c>
      <c r="AN449" s="25">
        <v>21</v>
      </c>
      <c r="AO449" s="25">
        <f>G449*0.55</f>
        <v>0</v>
      </c>
      <c r="AP449" s="25">
        <f>G449*(1-0.55)</f>
        <v>0</v>
      </c>
      <c r="AQ449" s="27" t="s">
        <v>76</v>
      </c>
      <c r="AV449" s="25">
        <f t="shared" si="436"/>
        <v>0</v>
      </c>
      <c r="AW449" s="25">
        <f t="shared" si="437"/>
        <v>0</v>
      </c>
      <c r="AX449" s="25">
        <f t="shared" si="438"/>
        <v>0</v>
      </c>
      <c r="AY449" s="27" t="s">
        <v>1244</v>
      </c>
      <c r="AZ449" s="27" t="s">
        <v>1245</v>
      </c>
      <c r="BA449" s="11" t="s">
        <v>56</v>
      </c>
      <c r="BC449" s="25">
        <f t="shared" si="439"/>
        <v>0</v>
      </c>
      <c r="BD449" s="25">
        <f t="shared" si="440"/>
        <v>0</v>
      </c>
      <c r="BE449" s="25">
        <v>0</v>
      </c>
      <c r="BF449" s="25">
        <f>449</f>
        <v>449</v>
      </c>
      <c r="BH449" s="25">
        <f t="shared" si="441"/>
        <v>0</v>
      </c>
      <c r="BI449" s="25">
        <f t="shared" si="442"/>
        <v>0</v>
      </c>
      <c r="BJ449" s="25">
        <f t="shared" si="443"/>
        <v>0</v>
      </c>
      <c r="BK449" s="27" t="s">
        <v>57</v>
      </c>
      <c r="BL449" s="25">
        <v>731</v>
      </c>
      <c r="BW449" s="25">
        <v>21</v>
      </c>
      <c r="BX449" s="5" t="s">
        <v>1362</v>
      </c>
    </row>
    <row r="450" spans="1:76" ht="25.5" x14ac:dyDescent="0.25">
      <c r="A450" s="2" t="s">
        <v>1363</v>
      </c>
      <c r="B450" s="3" t="s">
        <v>1364</v>
      </c>
      <c r="C450" s="93" t="s">
        <v>1365</v>
      </c>
      <c r="D450" s="94"/>
      <c r="E450" s="3" t="s">
        <v>52</v>
      </c>
      <c r="F450" s="25">
        <v>13</v>
      </c>
      <c r="G450" s="25">
        <v>0</v>
      </c>
      <c r="H450" s="25">
        <f t="shared" si="422"/>
        <v>0</v>
      </c>
      <c r="I450" s="25">
        <f t="shared" si="423"/>
        <v>0</v>
      </c>
      <c r="J450" s="25">
        <f t="shared" si="424"/>
        <v>0</v>
      </c>
      <c r="K450" s="26" t="s">
        <v>53</v>
      </c>
      <c r="Z450" s="25">
        <f t="shared" si="425"/>
        <v>0</v>
      </c>
      <c r="AB450" s="25">
        <f t="shared" si="426"/>
        <v>0</v>
      </c>
      <c r="AC450" s="25">
        <f t="shared" si="427"/>
        <v>0</v>
      </c>
      <c r="AD450" s="25">
        <f t="shared" si="428"/>
        <v>0</v>
      </c>
      <c r="AE450" s="25">
        <f t="shared" si="429"/>
        <v>0</v>
      </c>
      <c r="AF450" s="25">
        <f t="shared" si="430"/>
        <v>0</v>
      </c>
      <c r="AG450" s="25">
        <f t="shared" si="431"/>
        <v>0</v>
      </c>
      <c r="AH450" s="25">
        <f t="shared" si="432"/>
        <v>0</v>
      </c>
      <c r="AI450" s="11" t="s">
        <v>46</v>
      </c>
      <c r="AJ450" s="25">
        <f t="shared" si="433"/>
        <v>0</v>
      </c>
      <c r="AK450" s="25">
        <f t="shared" si="434"/>
        <v>0</v>
      </c>
      <c r="AL450" s="25">
        <f t="shared" si="435"/>
        <v>0</v>
      </c>
      <c r="AN450" s="25">
        <v>21</v>
      </c>
      <c r="AO450" s="25">
        <f>G450*0.55</f>
        <v>0</v>
      </c>
      <c r="AP450" s="25">
        <f>G450*(1-0.55)</f>
        <v>0</v>
      </c>
      <c r="AQ450" s="27" t="s">
        <v>76</v>
      </c>
      <c r="AV450" s="25">
        <f t="shared" si="436"/>
        <v>0</v>
      </c>
      <c r="AW450" s="25">
        <f t="shared" si="437"/>
        <v>0</v>
      </c>
      <c r="AX450" s="25">
        <f t="shared" si="438"/>
        <v>0</v>
      </c>
      <c r="AY450" s="27" t="s">
        <v>1244</v>
      </c>
      <c r="AZ450" s="27" t="s">
        <v>1245</v>
      </c>
      <c r="BA450" s="11" t="s">
        <v>56</v>
      </c>
      <c r="BC450" s="25">
        <f t="shared" si="439"/>
        <v>0</v>
      </c>
      <c r="BD450" s="25">
        <f t="shared" si="440"/>
        <v>0</v>
      </c>
      <c r="BE450" s="25">
        <v>0</v>
      </c>
      <c r="BF450" s="25">
        <f>450</f>
        <v>450</v>
      </c>
      <c r="BH450" s="25">
        <f t="shared" si="441"/>
        <v>0</v>
      </c>
      <c r="BI450" s="25">
        <f t="shared" si="442"/>
        <v>0</v>
      </c>
      <c r="BJ450" s="25">
        <f t="shared" si="443"/>
        <v>0</v>
      </c>
      <c r="BK450" s="27" t="s">
        <v>57</v>
      </c>
      <c r="BL450" s="25">
        <v>731</v>
      </c>
      <c r="BW450" s="25">
        <v>21</v>
      </c>
      <c r="BX450" s="5" t="s">
        <v>1365</v>
      </c>
    </row>
    <row r="451" spans="1:76" x14ac:dyDescent="0.25">
      <c r="A451" s="2" t="s">
        <v>1366</v>
      </c>
      <c r="B451" s="3" t="s">
        <v>1367</v>
      </c>
      <c r="C451" s="93" t="s">
        <v>1368</v>
      </c>
      <c r="D451" s="94"/>
      <c r="E451" s="3" t="s">
        <v>52</v>
      </c>
      <c r="F451" s="25">
        <v>1</v>
      </c>
      <c r="G451" s="25">
        <v>0</v>
      </c>
      <c r="H451" s="25">
        <f t="shared" si="422"/>
        <v>0</v>
      </c>
      <c r="I451" s="25">
        <f t="shared" si="423"/>
        <v>0</v>
      </c>
      <c r="J451" s="25">
        <f t="shared" si="424"/>
        <v>0</v>
      </c>
      <c r="K451" s="26" t="s">
        <v>53</v>
      </c>
      <c r="Z451" s="25">
        <f t="shared" si="425"/>
        <v>0</v>
      </c>
      <c r="AB451" s="25">
        <f t="shared" si="426"/>
        <v>0</v>
      </c>
      <c r="AC451" s="25">
        <f t="shared" si="427"/>
        <v>0</v>
      </c>
      <c r="AD451" s="25">
        <f t="shared" si="428"/>
        <v>0</v>
      </c>
      <c r="AE451" s="25">
        <f t="shared" si="429"/>
        <v>0</v>
      </c>
      <c r="AF451" s="25">
        <f t="shared" si="430"/>
        <v>0</v>
      </c>
      <c r="AG451" s="25">
        <f t="shared" si="431"/>
        <v>0</v>
      </c>
      <c r="AH451" s="25">
        <f t="shared" si="432"/>
        <v>0</v>
      </c>
      <c r="AI451" s="11" t="s">
        <v>46</v>
      </c>
      <c r="AJ451" s="25">
        <f t="shared" si="433"/>
        <v>0</v>
      </c>
      <c r="AK451" s="25">
        <f t="shared" si="434"/>
        <v>0</v>
      </c>
      <c r="AL451" s="25">
        <f t="shared" si="435"/>
        <v>0</v>
      </c>
      <c r="AN451" s="25">
        <v>21</v>
      </c>
      <c r="AO451" s="25">
        <f>G451*0.55</f>
        <v>0</v>
      </c>
      <c r="AP451" s="25">
        <f>G451*(1-0.55)</f>
        <v>0</v>
      </c>
      <c r="AQ451" s="27" t="s">
        <v>76</v>
      </c>
      <c r="AV451" s="25">
        <f t="shared" si="436"/>
        <v>0</v>
      </c>
      <c r="AW451" s="25">
        <f t="shared" si="437"/>
        <v>0</v>
      </c>
      <c r="AX451" s="25">
        <f t="shared" si="438"/>
        <v>0</v>
      </c>
      <c r="AY451" s="27" t="s">
        <v>1244</v>
      </c>
      <c r="AZ451" s="27" t="s">
        <v>1245</v>
      </c>
      <c r="BA451" s="11" t="s">
        <v>56</v>
      </c>
      <c r="BC451" s="25">
        <f t="shared" si="439"/>
        <v>0</v>
      </c>
      <c r="BD451" s="25">
        <f t="shared" si="440"/>
        <v>0</v>
      </c>
      <c r="BE451" s="25">
        <v>0</v>
      </c>
      <c r="BF451" s="25">
        <f>451</f>
        <v>451</v>
      </c>
      <c r="BH451" s="25">
        <f t="shared" si="441"/>
        <v>0</v>
      </c>
      <c r="BI451" s="25">
        <f t="shared" si="442"/>
        <v>0</v>
      </c>
      <c r="BJ451" s="25">
        <f t="shared" si="443"/>
        <v>0</v>
      </c>
      <c r="BK451" s="27" t="s">
        <v>57</v>
      </c>
      <c r="BL451" s="25">
        <v>731</v>
      </c>
      <c r="BW451" s="25">
        <v>21</v>
      </c>
      <c r="BX451" s="5" t="s">
        <v>1368</v>
      </c>
    </row>
    <row r="452" spans="1:76" ht="25.5" x14ac:dyDescent="0.25">
      <c r="A452" s="2" t="s">
        <v>1369</v>
      </c>
      <c r="B452" s="3" t="s">
        <v>1370</v>
      </c>
      <c r="C452" s="93" t="s">
        <v>1371</v>
      </c>
      <c r="D452" s="94"/>
      <c r="E452" s="3" t="s">
        <v>52</v>
      </c>
      <c r="F452" s="25">
        <v>1</v>
      </c>
      <c r="G452" s="25">
        <v>0</v>
      </c>
      <c r="H452" s="25">
        <f t="shared" si="422"/>
        <v>0</v>
      </c>
      <c r="I452" s="25">
        <f t="shared" si="423"/>
        <v>0</v>
      </c>
      <c r="J452" s="25">
        <f t="shared" si="424"/>
        <v>0</v>
      </c>
      <c r="K452" s="26" t="s">
        <v>53</v>
      </c>
      <c r="Z452" s="25">
        <f t="shared" si="425"/>
        <v>0</v>
      </c>
      <c r="AB452" s="25">
        <f t="shared" si="426"/>
        <v>0</v>
      </c>
      <c r="AC452" s="25">
        <f t="shared" si="427"/>
        <v>0</v>
      </c>
      <c r="AD452" s="25">
        <f t="shared" si="428"/>
        <v>0</v>
      </c>
      <c r="AE452" s="25">
        <f t="shared" si="429"/>
        <v>0</v>
      </c>
      <c r="AF452" s="25">
        <f t="shared" si="430"/>
        <v>0</v>
      </c>
      <c r="AG452" s="25">
        <f t="shared" si="431"/>
        <v>0</v>
      </c>
      <c r="AH452" s="25">
        <f t="shared" si="432"/>
        <v>0</v>
      </c>
      <c r="AI452" s="11" t="s">
        <v>46</v>
      </c>
      <c r="AJ452" s="25">
        <f t="shared" si="433"/>
        <v>0</v>
      </c>
      <c r="AK452" s="25">
        <f t="shared" si="434"/>
        <v>0</v>
      </c>
      <c r="AL452" s="25">
        <f t="shared" si="435"/>
        <v>0</v>
      </c>
      <c r="AN452" s="25">
        <v>21</v>
      </c>
      <c r="AO452" s="25">
        <f>G452*0.55</f>
        <v>0</v>
      </c>
      <c r="AP452" s="25">
        <f>G452*(1-0.55)</f>
        <v>0</v>
      </c>
      <c r="AQ452" s="27" t="s">
        <v>76</v>
      </c>
      <c r="AV452" s="25">
        <f t="shared" si="436"/>
        <v>0</v>
      </c>
      <c r="AW452" s="25">
        <f t="shared" si="437"/>
        <v>0</v>
      </c>
      <c r="AX452" s="25">
        <f t="shared" si="438"/>
        <v>0</v>
      </c>
      <c r="AY452" s="27" t="s">
        <v>1244</v>
      </c>
      <c r="AZ452" s="27" t="s">
        <v>1245</v>
      </c>
      <c r="BA452" s="11" t="s">
        <v>56</v>
      </c>
      <c r="BC452" s="25">
        <f t="shared" si="439"/>
        <v>0</v>
      </c>
      <c r="BD452" s="25">
        <f t="shared" si="440"/>
        <v>0</v>
      </c>
      <c r="BE452" s="25">
        <v>0</v>
      </c>
      <c r="BF452" s="25">
        <f>452</f>
        <v>452</v>
      </c>
      <c r="BH452" s="25">
        <f t="shared" si="441"/>
        <v>0</v>
      </c>
      <c r="BI452" s="25">
        <f t="shared" si="442"/>
        <v>0</v>
      </c>
      <c r="BJ452" s="25">
        <f t="shared" si="443"/>
        <v>0</v>
      </c>
      <c r="BK452" s="27" t="s">
        <v>57</v>
      </c>
      <c r="BL452" s="25">
        <v>731</v>
      </c>
      <c r="BW452" s="25">
        <v>21</v>
      </c>
      <c r="BX452" s="5" t="s">
        <v>1371</v>
      </c>
    </row>
    <row r="453" spans="1:76" x14ac:dyDescent="0.25">
      <c r="A453" s="2" t="s">
        <v>1372</v>
      </c>
      <c r="B453" s="3" t="s">
        <v>1373</v>
      </c>
      <c r="C453" s="93" t="s">
        <v>1374</v>
      </c>
      <c r="D453" s="94"/>
      <c r="E453" s="3" t="s">
        <v>796</v>
      </c>
      <c r="F453" s="25">
        <v>40</v>
      </c>
      <c r="G453" s="25">
        <v>0</v>
      </c>
      <c r="H453" s="25">
        <f t="shared" si="422"/>
        <v>0</v>
      </c>
      <c r="I453" s="25">
        <f t="shared" si="423"/>
        <v>0</v>
      </c>
      <c r="J453" s="25">
        <f t="shared" si="424"/>
        <v>0</v>
      </c>
      <c r="K453" s="26" t="s">
        <v>53</v>
      </c>
      <c r="Z453" s="25">
        <f t="shared" si="425"/>
        <v>0</v>
      </c>
      <c r="AB453" s="25">
        <f t="shared" si="426"/>
        <v>0</v>
      </c>
      <c r="AC453" s="25">
        <f t="shared" si="427"/>
        <v>0</v>
      </c>
      <c r="AD453" s="25">
        <f t="shared" si="428"/>
        <v>0</v>
      </c>
      <c r="AE453" s="25">
        <f t="shared" si="429"/>
        <v>0</v>
      </c>
      <c r="AF453" s="25">
        <f t="shared" si="430"/>
        <v>0</v>
      </c>
      <c r="AG453" s="25">
        <f t="shared" si="431"/>
        <v>0</v>
      </c>
      <c r="AH453" s="25">
        <f t="shared" si="432"/>
        <v>0</v>
      </c>
      <c r="AI453" s="11" t="s">
        <v>46</v>
      </c>
      <c r="AJ453" s="25">
        <f t="shared" si="433"/>
        <v>0</v>
      </c>
      <c r="AK453" s="25">
        <f t="shared" si="434"/>
        <v>0</v>
      </c>
      <c r="AL453" s="25">
        <f t="shared" si="435"/>
        <v>0</v>
      </c>
      <c r="AN453" s="25">
        <v>21</v>
      </c>
      <c r="AO453" s="25">
        <f t="shared" ref="AO453:AO459" si="444">G453*0</f>
        <v>0</v>
      </c>
      <c r="AP453" s="25">
        <f t="shared" ref="AP453:AP459" si="445">G453*(1-0)</f>
        <v>0</v>
      </c>
      <c r="AQ453" s="27" t="s">
        <v>76</v>
      </c>
      <c r="AV453" s="25">
        <f t="shared" si="436"/>
        <v>0</v>
      </c>
      <c r="AW453" s="25">
        <f t="shared" si="437"/>
        <v>0</v>
      </c>
      <c r="AX453" s="25">
        <f t="shared" si="438"/>
        <v>0</v>
      </c>
      <c r="AY453" s="27" t="s">
        <v>1244</v>
      </c>
      <c r="AZ453" s="27" t="s">
        <v>1245</v>
      </c>
      <c r="BA453" s="11" t="s">
        <v>56</v>
      </c>
      <c r="BC453" s="25">
        <f t="shared" si="439"/>
        <v>0</v>
      </c>
      <c r="BD453" s="25">
        <f t="shared" si="440"/>
        <v>0</v>
      </c>
      <c r="BE453" s="25">
        <v>0</v>
      </c>
      <c r="BF453" s="25">
        <f>453</f>
        <v>453</v>
      </c>
      <c r="BH453" s="25">
        <f t="shared" si="441"/>
        <v>0</v>
      </c>
      <c r="BI453" s="25">
        <f t="shared" si="442"/>
        <v>0</v>
      </c>
      <c r="BJ453" s="25">
        <f t="shared" si="443"/>
        <v>0</v>
      </c>
      <c r="BK453" s="27" t="s">
        <v>57</v>
      </c>
      <c r="BL453" s="25">
        <v>731</v>
      </c>
      <c r="BW453" s="25">
        <v>21</v>
      </c>
      <c r="BX453" s="5" t="s">
        <v>1374</v>
      </c>
    </row>
    <row r="454" spans="1:76" x14ac:dyDescent="0.25">
      <c r="A454" s="2" t="s">
        <v>1375</v>
      </c>
      <c r="B454" s="3" t="s">
        <v>1376</v>
      </c>
      <c r="C454" s="93" t="s">
        <v>1377</v>
      </c>
      <c r="D454" s="94"/>
      <c r="E454" s="3" t="s">
        <v>796</v>
      </c>
      <c r="F454" s="25">
        <v>80</v>
      </c>
      <c r="G454" s="25">
        <v>0</v>
      </c>
      <c r="H454" s="25">
        <f t="shared" si="422"/>
        <v>0</v>
      </c>
      <c r="I454" s="25">
        <f t="shared" si="423"/>
        <v>0</v>
      </c>
      <c r="J454" s="25">
        <f t="shared" si="424"/>
        <v>0</v>
      </c>
      <c r="K454" s="26" t="s">
        <v>53</v>
      </c>
      <c r="Z454" s="25">
        <f t="shared" si="425"/>
        <v>0</v>
      </c>
      <c r="AB454" s="25">
        <f t="shared" si="426"/>
        <v>0</v>
      </c>
      <c r="AC454" s="25">
        <f t="shared" si="427"/>
        <v>0</v>
      </c>
      <c r="AD454" s="25">
        <f t="shared" si="428"/>
        <v>0</v>
      </c>
      <c r="AE454" s="25">
        <f t="shared" si="429"/>
        <v>0</v>
      </c>
      <c r="AF454" s="25">
        <f t="shared" si="430"/>
        <v>0</v>
      </c>
      <c r="AG454" s="25">
        <f t="shared" si="431"/>
        <v>0</v>
      </c>
      <c r="AH454" s="25">
        <f t="shared" si="432"/>
        <v>0</v>
      </c>
      <c r="AI454" s="11" t="s">
        <v>46</v>
      </c>
      <c r="AJ454" s="25">
        <f t="shared" si="433"/>
        <v>0</v>
      </c>
      <c r="AK454" s="25">
        <f t="shared" si="434"/>
        <v>0</v>
      </c>
      <c r="AL454" s="25">
        <f t="shared" si="435"/>
        <v>0</v>
      </c>
      <c r="AN454" s="25">
        <v>21</v>
      </c>
      <c r="AO454" s="25">
        <f t="shared" si="444"/>
        <v>0</v>
      </c>
      <c r="AP454" s="25">
        <f t="shared" si="445"/>
        <v>0</v>
      </c>
      <c r="AQ454" s="27" t="s">
        <v>76</v>
      </c>
      <c r="AV454" s="25">
        <f t="shared" si="436"/>
        <v>0</v>
      </c>
      <c r="AW454" s="25">
        <f t="shared" si="437"/>
        <v>0</v>
      </c>
      <c r="AX454" s="25">
        <f t="shared" si="438"/>
        <v>0</v>
      </c>
      <c r="AY454" s="27" t="s">
        <v>1244</v>
      </c>
      <c r="AZ454" s="27" t="s">
        <v>1245</v>
      </c>
      <c r="BA454" s="11" t="s">
        <v>56</v>
      </c>
      <c r="BC454" s="25">
        <f t="shared" si="439"/>
        <v>0</v>
      </c>
      <c r="BD454" s="25">
        <f t="shared" si="440"/>
        <v>0</v>
      </c>
      <c r="BE454" s="25">
        <v>0</v>
      </c>
      <c r="BF454" s="25">
        <f>454</f>
        <v>454</v>
      </c>
      <c r="BH454" s="25">
        <f t="shared" si="441"/>
        <v>0</v>
      </c>
      <c r="BI454" s="25">
        <f t="shared" si="442"/>
        <v>0</v>
      </c>
      <c r="BJ454" s="25">
        <f t="shared" si="443"/>
        <v>0</v>
      </c>
      <c r="BK454" s="27" t="s">
        <v>57</v>
      </c>
      <c r="BL454" s="25">
        <v>731</v>
      </c>
      <c r="BW454" s="25">
        <v>21</v>
      </c>
      <c r="BX454" s="5" t="s">
        <v>1377</v>
      </c>
    </row>
    <row r="455" spans="1:76" x14ac:dyDescent="0.25">
      <c r="A455" s="2" t="s">
        <v>1378</v>
      </c>
      <c r="B455" s="3" t="s">
        <v>1379</v>
      </c>
      <c r="C455" s="93" t="s">
        <v>1380</v>
      </c>
      <c r="D455" s="94"/>
      <c r="E455" s="3" t="s">
        <v>52</v>
      </c>
      <c r="F455" s="25">
        <v>55</v>
      </c>
      <c r="G455" s="25">
        <v>0</v>
      </c>
      <c r="H455" s="25">
        <f t="shared" si="422"/>
        <v>0</v>
      </c>
      <c r="I455" s="25">
        <f t="shared" si="423"/>
        <v>0</v>
      </c>
      <c r="J455" s="25">
        <f t="shared" si="424"/>
        <v>0</v>
      </c>
      <c r="K455" s="26" t="s">
        <v>53</v>
      </c>
      <c r="Z455" s="25">
        <f t="shared" si="425"/>
        <v>0</v>
      </c>
      <c r="AB455" s="25">
        <f t="shared" si="426"/>
        <v>0</v>
      </c>
      <c r="AC455" s="25">
        <f t="shared" si="427"/>
        <v>0</v>
      </c>
      <c r="AD455" s="25">
        <f t="shared" si="428"/>
        <v>0</v>
      </c>
      <c r="AE455" s="25">
        <f t="shared" si="429"/>
        <v>0</v>
      </c>
      <c r="AF455" s="25">
        <f t="shared" si="430"/>
        <v>0</v>
      </c>
      <c r="AG455" s="25">
        <f t="shared" si="431"/>
        <v>0</v>
      </c>
      <c r="AH455" s="25">
        <f t="shared" si="432"/>
        <v>0</v>
      </c>
      <c r="AI455" s="11" t="s">
        <v>46</v>
      </c>
      <c r="AJ455" s="25">
        <f t="shared" si="433"/>
        <v>0</v>
      </c>
      <c r="AK455" s="25">
        <f t="shared" si="434"/>
        <v>0</v>
      </c>
      <c r="AL455" s="25">
        <f t="shared" si="435"/>
        <v>0</v>
      </c>
      <c r="AN455" s="25">
        <v>21</v>
      </c>
      <c r="AO455" s="25">
        <f t="shared" si="444"/>
        <v>0</v>
      </c>
      <c r="AP455" s="25">
        <f t="shared" si="445"/>
        <v>0</v>
      </c>
      <c r="AQ455" s="27" t="s">
        <v>76</v>
      </c>
      <c r="AV455" s="25">
        <f t="shared" si="436"/>
        <v>0</v>
      </c>
      <c r="AW455" s="25">
        <f t="shared" si="437"/>
        <v>0</v>
      </c>
      <c r="AX455" s="25">
        <f t="shared" si="438"/>
        <v>0</v>
      </c>
      <c r="AY455" s="27" t="s">
        <v>1244</v>
      </c>
      <c r="AZ455" s="27" t="s">
        <v>1245</v>
      </c>
      <c r="BA455" s="11" t="s">
        <v>56</v>
      </c>
      <c r="BC455" s="25">
        <f t="shared" si="439"/>
        <v>0</v>
      </c>
      <c r="BD455" s="25">
        <f t="shared" si="440"/>
        <v>0</v>
      </c>
      <c r="BE455" s="25">
        <v>0</v>
      </c>
      <c r="BF455" s="25">
        <f>455</f>
        <v>455</v>
      </c>
      <c r="BH455" s="25">
        <f t="shared" si="441"/>
        <v>0</v>
      </c>
      <c r="BI455" s="25">
        <f t="shared" si="442"/>
        <v>0</v>
      </c>
      <c r="BJ455" s="25">
        <f t="shared" si="443"/>
        <v>0</v>
      </c>
      <c r="BK455" s="27" t="s">
        <v>57</v>
      </c>
      <c r="BL455" s="25">
        <v>731</v>
      </c>
      <c r="BW455" s="25">
        <v>21</v>
      </c>
      <c r="BX455" s="5" t="s">
        <v>1380</v>
      </c>
    </row>
    <row r="456" spans="1:76" ht="25.5" x14ac:dyDescent="0.25">
      <c r="A456" s="2" t="s">
        <v>1381</v>
      </c>
      <c r="B456" s="3" t="s">
        <v>1382</v>
      </c>
      <c r="C456" s="93" t="s">
        <v>1383</v>
      </c>
      <c r="D456" s="94"/>
      <c r="E456" s="3" t="s">
        <v>52</v>
      </c>
      <c r="F456" s="25">
        <v>15</v>
      </c>
      <c r="G456" s="25">
        <v>0</v>
      </c>
      <c r="H456" s="25">
        <f t="shared" si="422"/>
        <v>0</v>
      </c>
      <c r="I456" s="25">
        <f t="shared" si="423"/>
        <v>0</v>
      </c>
      <c r="J456" s="25">
        <f t="shared" si="424"/>
        <v>0</v>
      </c>
      <c r="K456" s="26" t="s">
        <v>53</v>
      </c>
      <c r="Z456" s="25">
        <f t="shared" si="425"/>
        <v>0</v>
      </c>
      <c r="AB456" s="25">
        <f t="shared" si="426"/>
        <v>0</v>
      </c>
      <c r="AC456" s="25">
        <f t="shared" si="427"/>
        <v>0</v>
      </c>
      <c r="AD456" s="25">
        <f t="shared" si="428"/>
        <v>0</v>
      </c>
      <c r="AE456" s="25">
        <f t="shared" si="429"/>
        <v>0</v>
      </c>
      <c r="AF456" s="25">
        <f t="shared" si="430"/>
        <v>0</v>
      </c>
      <c r="AG456" s="25">
        <f t="shared" si="431"/>
        <v>0</v>
      </c>
      <c r="AH456" s="25">
        <f t="shared" si="432"/>
        <v>0</v>
      </c>
      <c r="AI456" s="11" t="s">
        <v>46</v>
      </c>
      <c r="AJ456" s="25">
        <f t="shared" si="433"/>
        <v>0</v>
      </c>
      <c r="AK456" s="25">
        <f t="shared" si="434"/>
        <v>0</v>
      </c>
      <c r="AL456" s="25">
        <f t="shared" si="435"/>
        <v>0</v>
      </c>
      <c r="AN456" s="25">
        <v>21</v>
      </c>
      <c r="AO456" s="25">
        <f t="shared" si="444"/>
        <v>0</v>
      </c>
      <c r="AP456" s="25">
        <f t="shared" si="445"/>
        <v>0</v>
      </c>
      <c r="AQ456" s="27" t="s">
        <v>76</v>
      </c>
      <c r="AV456" s="25">
        <f t="shared" si="436"/>
        <v>0</v>
      </c>
      <c r="AW456" s="25">
        <f t="shared" si="437"/>
        <v>0</v>
      </c>
      <c r="AX456" s="25">
        <f t="shared" si="438"/>
        <v>0</v>
      </c>
      <c r="AY456" s="27" t="s">
        <v>1244</v>
      </c>
      <c r="AZ456" s="27" t="s">
        <v>1245</v>
      </c>
      <c r="BA456" s="11" t="s">
        <v>56</v>
      </c>
      <c r="BC456" s="25">
        <f t="shared" si="439"/>
        <v>0</v>
      </c>
      <c r="BD456" s="25">
        <f t="shared" si="440"/>
        <v>0</v>
      </c>
      <c r="BE456" s="25">
        <v>0</v>
      </c>
      <c r="BF456" s="25">
        <f>456</f>
        <v>456</v>
      </c>
      <c r="BH456" s="25">
        <f t="shared" si="441"/>
        <v>0</v>
      </c>
      <c r="BI456" s="25">
        <f t="shared" si="442"/>
        <v>0</v>
      </c>
      <c r="BJ456" s="25">
        <f t="shared" si="443"/>
        <v>0</v>
      </c>
      <c r="BK456" s="27" t="s">
        <v>57</v>
      </c>
      <c r="BL456" s="25">
        <v>731</v>
      </c>
      <c r="BW456" s="25">
        <v>21</v>
      </c>
      <c r="BX456" s="5" t="s">
        <v>1383</v>
      </c>
    </row>
    <row r="457" spans="1:76" ht="25.5" x14ac:dyDescent="0.25">
      <c r="A457" s="2" t="s">
        <v>1384</v>
      </c>
      <c r="B457" s="3" t="s">
        <v>1385</v>
      </c>
      <c r="C457" s="93" t="s">
        <v>984</v>
      </c>
      <c r="D457" s="94"/>
      <c r="E457" s="3" t="s">
        <v>52</v>
      </c>
      <c r="F457" s="25">
        <v>2</v>
      </c>
      <c r="G457" s="25">
        <v>0</v>
      </c>
      <c r="H457" s="25">
        <f t="shared" si="422"/>
        <v>0</v>
      </c>
      <c r="I457" s="25">
        <f t="shared" si="423"/>
        <v>0</v>
      </c>
      <c r="J457" s="25">
        <f t="shared" si="424"/>
        <v>0</v>
      </c>
      <c r="K457" s="26" t="s">
        <v>53</v>
      </c>
      <c r="Z457" s="25">
        <f t="shared" si="425"/>
        <v>0</v>
      </c>
      <c r="AB457" s="25">
        <f t="shared" si="426"/>
        <v>0</v>
      </c>
      <c r="AC457" s="25">
        <f t="shared" si="427"/>
        <v>0</v>
      </c>
      <c r="AD457" s="25">
        <f t="shared" si="428"/>
        <v>0</v>
      </c>
      <c r="AE457" s="25">
        <f t="shared" si="429"/>
        <v>0</v>
      </c>
      <c r="AF457" s="25">
        <f t="shared" si="430"/>
        <v>0</v>
      </c>
      <c r="AG457" s="25">
        <f t="shared" si="431"/>
        <v>0</v>
      </c>
      <c r="AH457" s="25">
        <f t="shared" si="432"/>
        <v>0</v>
      </c>
      <c r="AI457" s="11" t="s">
        <v>46</v>
      </c>
      <c r="AJ457" s="25">
        <f t="shared" si="433"/>
        <v>0</v>
      </c>
      <c r="AK457" s="25">
        <f t="shared" si="434"/>
        <v>0</v>
      </c>
      <c r="AL457" s="25">
        <f t="shared" si="435"/>
        <v>0</v>
      </c>
      <c r="AN457" s="25">
        <v>21</v>
      </c>
      <c r="AO457" s="25">
        <f t="shared" si="444"/>
        <v>0</v>
      </c>
      <c r="AP457" s="25">
        <f t="shared" si="445"/>
        <v>0</v>
      </c>
      <c r="AQ457" s="27" t="s">
        <v>76</v>
      </c>
      <c r="AV457" s="25">
        <f t="shared" si="436"/>
        <v>0</v>
      </c>
      <c r="AW457" s="25">
        <f t="shared" si="437"/>
        <v>0</v>
      </c>
      <c r="AX457" s="25">
        <f t="shared" si="438"/>
        <v>0</v>
      </c>
      <c r="AY457" s="27" t="s">
        <v>1244</v>
      </c>
      <c r="AZ457" s="27" t="s">
        <v>1245</v>
      </c>
      <c r="BA457" s="11" t="s">
        <v>56</v>
      </c>
      <c r="BC457" s="25">
        <f t="shared" si="439"/>
        <v>0</v>
      </c>
      <c r="BD457" s="25">
        <f t="shared" si="440"/>
        <v>0</v>
      </c>
      <c r="BE457" s="25">
        <v>0</v>
      </c>
      <c r="BF457" s="25">
        <f>457</f>
        <v>457</v>
      </c>
      <c r="BH457" s="25">
        <f t="shared" si="441"/>
        <v>0</v>
      </c>
      <c r="BI457" s="25">
        <f t="shared" si="442"/>
        <v>0</v>
      </c>
      <c r="BJ457" s="25">
        <f t="shared" si="443"/>
        <v>0</v>
      </c>
      <c r="BK457" s="27" t="s">
        <v>57</v>
      </c>
      <c r="BL457" s="25">
        <v>731</v>
      </c>
      <c r="BW457" s="25">
        <v>21</v>
      </c>
      <c r="BX457" s="5" t="s">
        <v>984</v>
      </c>
    </row>
    <row r="458" spans="1:76" ht="25.5" x14ac:dyDescent="0.25">
      <c r="A458" s="2" t="s">
        <v>1386</v>
      </c>
      <c r="B458" s="3" t="s">
        <v>1387</v>
      </c>
      <c r="C458" s="93" t="s">
        <v>1388</v>
      </c>
      <c r="D458" s="94"/>
      <c r="E458" s="3" t="s">
        <v>131</v>
      </c>
      <c r="F458" s="25">
        <v>126.575</v>
      </c>
      <c r="G458" s="25">
        <v>0</v>
      </c>
      <c r="H458" s="25">
        <f t="shared" si="422"/>
        <v>0</v>
      </c>
      <c r="I458" s="25">
        <f t="shared" si="423"/>
        <v>0</v>
      </c>
      <c r="J458" s="25">
        <f t="shared" si="424"/>
        <v>0</v>
      </c>
      <c r="K458" s="26" t="s">
        <v>53</v>
      </c>
      <c r="Z458" s="25">
        <f t="shared" si="425"/>
        <v>0</v>
      </c>
      <c r="AB458" s="25">
        <f t="shared" si="426"/>
        <v>0</v>
      </c>
      <c r="AC458" s="25">
        <f t="shared" si="427"/>
        <v>0</v>
      </c>
      <c r="AD458" s="25">
        <f t="shared" si="428"/>
        <v>0</v>
      </c>
      <c r="AE458" s="25">
        <f t="shared" si="429"/>
        <v>0</v>
      </c>
      <c r="AF458" s="25">
        <f t="shared" si="430"/>
        <v>0</v>
      </c>
      <c r="AG458" s="25">
        <f t="shared" si="431"/>
        <v>0</v>
      </c>
      <c r="AH458" s="25">
        <f t="shared" si="432"/>
        <v>0</v>
      </c>
      <c r="AI458" s="11" t="s">
        <v>46</v>
      </c>
      <c r="AJ458" s="25">
        <f t="shared" si="433"/>
        <v>0</v>
      </c>
      <c r="AK458" s="25">
        <f t="shared" si="434"/>
        <v>0</v>
      </c>
      <c r="AL458" s="25">
        <f t="shared" si="435"/>
        <v>0</v>
      </c>
      <c r="AN458" s="25">
        <v>21</v>
      </c>
      <c r="AO458" s="25">
        <f t="shared" si="444"/>
        <v>0</v>
      </c>
      <c r="AP458" s="25">
        <f t="shared" si="445"/>
        <v>0</v>
      </c>
      <c r="AQ458" s="27" t="s">
        <v>76</v>
      </c>
      <c r="AV458" s="25">
        <f t="shared" si="436"/>
        <v>0</v>
      </c>
      <c r="AW458" s="25">
        <f t="shared" si="437"/>
        <v>0</v>
      </c>
      <c r="AX458" s="25">
        <f t="shared" si="438"/>
        <v>0</v>
      </c>
      <c r="AY458" s="27" t="s">
        <v>1244</v>
      </c>
      <c r="AZ458" s="27" t="s">
        <v>1245</v>
      </c>
      <c r="BA458" s="11" t="s">
        <v>56</v>
      </c>
      <c r="BC458" s="25">
        <f t="shared" si="439"/>
        <v>0</v>
      </c>
      <c r="BD458" s="25">
        <f t="shared" si="440"/>
        <v>0</v>
      </c>
      <c r="BE458" s="25">
        <v>0</v>
      </c>
      <c r="BF458" s="25">
        <f>458</f>
        <v>458</v>
      </c>
      <c r="BH458" s="25">
        <f t="shared" si="441"/>
        <v>0</v>
      </c>
      <c r="BI458" s="25">
        <f t="shared" si="442"/>
        <v>0</v>
      </c>
      <c r="BJ458" s="25">
        <f t="shared" si="443"/>
        <v>0</v>
      </c>
      <c r="BK458" s="27" t="s">
        <v>57</v>
      </c>
      <c r="BL458" s="25">
        <v>731</v>
      </c>
      <c r="BW458" s="25">
        <v>21</v>
      </c>
      <c r="BX458" s="5" t="s">
        <v>1388</v>
      </c>
    </row>
    <row r="459" spans="1:76" x14ac:dyDescent="0.25">
      <c r="A459" s="2" t="s">
        <v>1389</v>
      </c>
      <c r="B459" s="3" t="s">
        <v>1390</v>
      </c>
      <c r="C459" s="93" t="s">
        <v>795</v>
      </c>
      <c r="D459" s="94"/>
      <c r="E459" s="3" t="s">
        <v>796</v>
      </c>
      <c r="F459" s="25">
        <v>40</v>
      </c>
      <c r="G459" s="25">
        <v>0</v>
      </c>
      <c r="H459" s="25">
        <f t="shared" si="422"/>
        <v>0</v>
      </c>
      <c r="I459" s="25">
        <f t="shared" si="423"/>
        <v>0</v>
      </c>
      <c r="J459" s="25">
        <f t="shared" si="424"/>
        <v>0</v>
      </c>
      <c r="K459" s="26" t="s">
        <v>53</v>
      </c>
      <c r="Z459" s="25">
        <f t="shared" si="425"/>
        <v>0</v>
      </c>
      <c r="AB459" s="25">
        <f t="shared" si="426"/>
        <v>0</v>
      </c>
      <c r="AC459" s="25">
        <f t="shared" si="427"/>
        <v>0</v>
      </c>
      <c r="AD459" s="25">
        <f t="shared" si="428"/>
        <v>0</v>
      </c>
      <c r="AE459" s="25">
        <f t="shared" si="429"/>
        <v>0</v>
      </c>
      <c r="AF459" s="25">
        <f t="shared" si="430"/>
        <v>0</v>
      </c>
      <c r="AG459" s="25">
        <f t="shared" si="431"/>
        <v>0</v>
      </c>
      <c r="AH459" s="25">
        <f t="shared" si="432"/>
        <v>0</v>
      </c>
      <c r="AI459" s="11" t="s">
        <v>46</v>
      </c>
      <c r="AJ459" s="25">
        <f t="shared" si="433"/>
        <v>0</v>
      </c>
      <c r="AK459" s="25">
        <f t="shared" si="434"/>
        <v>0</v>
      </c>
      <c r="AL459" s="25">
        <f t="shared" si="435"/>
        <v>0</v>
      </c>
      <c r="AN459" s="25">
        <v>21</v>
      </c>
      <c r="AO459" s="25">
        <f t="shared" si="444"/>
        <v>0</v>
      </c>
      <c r="AP459" s="25">
        <f t="shared" si="445"/>
        <v>0</v>
      </c>
      <c r="AQ459" s="27" t="s">
        <v>76</v>
      </c>
      <c r="AV459" s="25">
        <f t="shared" si="436"/>
        <v>0</v>
      </c>
      <c r="AW459" s="25">
        <f t="shared" si="437"/>
        <v>0</v>
      </c>
      <c r="AX459" s="25">
        <f t="shared" si="438"/>
        <v>0</v>
      </c>
      <c r="AY459" s="27" t="s">
        <v>1244</v>
      </c>
      <c r="AZ459" s="27" t="s">
        <v>1245</v>
      </c>
      <c r="BA459" s="11" t="s">
        <v>56</v>
      </c>
      <c r="BC459" s="25">
        <f t="shared" si="439"/>
        <v>0</v>
      </c>
      <c r="BD459" s="25">
        <f t="shared" si="440"/>
        <v>0</v>
      </c>
      <c r="BE459" s="25">
        <v>0</v>
      </c>
      <c r="BF459" s="25">
        <f>459</f>
        <v>459</v>
      </c>
      <c r="BH459" s="25">
        <f t="shared" si="441"/>
        <v>0</v>
      </c>
      <c r="BI459" s="25">
        <f t="shared" si="442"/>
        <v>0</v>
      </c>
      <c r="BJ459" s="25">
        <f t="shared" si="443"/>
        <v>0</v>
      </c>
      <c r="BK459" s="27" t="s">
        <v>57</v>
      </c>
      <c r="BL459" s="25">
        <v>731</v>
      </c>
      <c r="BW459" s="25">
        <v>21</v>
      </c>
      <c r="BX459" s="5" t="s">
        <v>795</v>
      </c>
    </row>
    <row r="460" spans="1:76" ht="25.5" x14ac:dyDescent="0.25">
      <c r="A460" s="2" t="s">
        <v>1391</v>
      </c>
      <c r="B460" s="3" t="s">
        <v>1392</v>
      </c>
      <c r="C460" s="93" t="s">
        <v>1393</v>
      </c>
      <c r="D460" s="94"/>
      <c r="E460" s="3" t="s">
        <v>52</v>
      </c>
      <c r="F460" s="25">
        <v>11</v>
      </c>
      <c r="G460" s="25">
        <v>0</v>
      </c>
      <c r="H460" s="25">
        <f t="shared" si="422"/>
        <v>0</v>
      </c>
      <c r="I460" s="25">
        <f t="shared" si="423"/>
        <v>0</v>
      </c>
      <c r="J460" s="25">
        <f t="shared" si="424"/>
        <v>0</v>
      </c>
      <c r="K460" s="26" t="s">
        <v>53</v>
      </c>
      <c r="Z460" s="25">
        <f t="shared" si="425"/>
        <v>0</v>
      </c>
      <c r="AB460" s="25">
        <f t="shared" si="426"/>
        <v>0</v>
      </c>
      <c r="AC460" s="25">
        <f t="shared" si="427"/>
        <v>0</v>
      </c>
      <c r="AD460" s="25">
        <f t="shared" si="428"/>
        <v>0</v>
      </c>
      <c r="AE460" s="25">
        <f t="shared" si="429"/>
        <v>0</v>
      </c>
      <c r="AF460" s="25">
        <f t="shared" si="430"/>
        <v>0</v>
      </c>
      <c r="AG460" s="25">
        <f t="shared" si="431"/>
        <v>0</v>
      </c>
      <c r="AH460" s="25">
        <f t="shared" si="432"/>
        <v>0</v>
      </c>
      <c r="AI460" s="11" t="s">
        <v>46</v>
      </c>
      <c r="AJ460" s="25">
        <f t="shared" si="433"/>
        <v>0</v>
      </c>
      <c r="AK460" s="25">
        <f t="shared" si="434"/>
        <v>0</v>
      </c>
      <c r="AL460" s="25">
        <f t="shared" si="435"/>
        <v>0</v>
      </c>
      <c r="AN460" s="25">
        <v>21</v>
      </c>
      <c r="AO460" s="25">
        <f>G460*0.55</f>
        <v>0</v>
      </c>
      <c r="AP460" s="25">
        <f>G460*(1-0.55)</f>
        <v>0</v>
      </c>
      <c r="AQ460" s="27" t="s">
        <v>76</v>
      </c>
      <c r="AV460" s="25">
        <f t="shared" si="436"/>
        <v>0</v>
      </c>
      <c r="AW460" s="25">
        <f t="shared" si="437"/>
        <v>0</v>
      </c>
      <c r="AX460" s="25">
        <f t="shared" si="438"/>
        <v>0</v>
      </c>
      <c r="AY460" s="27" t="s">
        <v>1244</v>
      </c>
      <c r="AZ460" s="27" t="s">
        <v>1245</v>
      </c>
      <c r="BA460" s="11" t="s">
        <v>56</v>
      </c>
      <c r="BC460" s="25">
        <f t="shared" si="439"/>
        <v>0</v>
      </c>
      <c r="BD460" s="25">
        <f t="shared" si="440"/>
        <v>0</v>
      </c>
      <c r="BE460" s="25">
        <v>0</v>
      </c>
      <c r="BF460" s="25">
        <f>460</f>
        <v>460</v>
      </c>
      <c r="BH460" s="25">
        <f t="shared" si="441"/>
        <v>0</v>
      </c>
      <c r="BI460" s="25">
        <f t="shared" si="442"/>
        <v>0</v>
      </c>
      <c r="BJ460" s="25">
        <f t="shared" si="443"/>
        <v>0</v>
      </c>
      <c r="BK460" s="27" t="s">
        <v>57</v>
      </c>
      <c r="BL460" s="25">
        <v>731</v>
      </c>
      <c r="BW460" s="25">
        <v>21</v>
      </c>
      <c r="BX460" s="5" t="s">
        <v>1393</v>
      </c>
    </row>
    <row r="461" spans="1:76" x14ac:dyDescent="0.25">
      <c r="A461" s="2" t="s">
        <v>1394</v>
      </c>
      <c r="B461" s="3" t="s">
        <v>1395</v>
      </c>
      <c r="C461" s="93" t="s">
        <v>1396</v>
      </c>
      <c r="D461" s="94"/>
      <c r="E461" s="3" t="s">
        <v>52</v>
      </c>
      <c r="F461" s="25">
        <v>1</v>
      </c>
      <c r="G461" s="25">
        <v>0</v>
      </c>
      <c r="H461" s="25">
        <f t="shared" si="422"/>
        <v>0</v>
      </c>
      <c r="I461" s="25">
        <f t="shared" si="423"/>
        <v>0</v>
      </c>
      <c r="J461" s="25">
        <f t="shared" si="424"/>
        <v>0</v>
      </c>
      <c r="K461" s="26" t="s">
        <v>53</v>
      </c>
      <c r="Z461" s="25">
        <f t="shared" si="425"/>
        <v>0</v>
      </c>
      <c r="AB461" s="25">
        <f t="shared" si="426"/>
        <v>0</v>
      </c>
      <c r="AC461" s="25">
        <f t="shared" si="427"/>
        <v>0</v>
      </c>
      <c r="AD461" s="25">
        <f t="shared" si="428"/>
        <v>0</v>
      </c>
      <c r="AE461" s="25">
        <f t="shared" si="429"/>
        <v>0</v>
      </c>
      <c r="AF461" s="25">
        <f t="shared" si="430"/>
        <v>0</v>
      </c>
      <c r="AG461" s="25">
        <f t="shared" si="431"/>
        <v>0</v>
      </c>
      <c r="AH461" s="25">
        <f t="shared" si="432"/>
        <v>0</v>
      </c>
      <c r="AI461" s="11" t="s">
        <v>46</v>
      </c>
      <c r="AJ461" s="25">
        <f t="shared" si="433"/>
        <v>0</v>
      </c>
      <c r="AK461" s="25">
        <f t="shared" si="434"/>
        <v>0</v>
      </c>
      <c r="AL461" s="25">
        <f t="shared" si="435"/>
        <v>0</v>
      </c>
      <c r="AN461" s="25">
        <v>21</v>
      </c>
      <c r="AO461" s="25">
        <f>G461*0</f>
        <v>0</v>
      </c>
      <c r="AP461" s="25">
        <f>G461*(1-0)</f>
        <v>0</v>
      </c>
      <c r="AQ461" s="27" t="s">
        <v>76</v>
      </c>
      <c r="AV461" s="25">
        <f t="shared" si="436"/>
        <v>0</v>
      </c>
      <c r="AW461" s="25">
        <f t="shared" si="437"/>
        <v>0</v>
      </c>
      <c r="AX461" s="25">
        <f t="shared" si="438"/>
        <v>0</v>
      </c>
      <c r="AY461" s="27" t="s">
        <v>1244</v>
      </c>
      <c r="AZ461" s="27" t="s">
        <v>1245</v>
      </c>
      <c r="BA461" s="11" t="s">
        <v>56</v>
      </c>
      <c r="BC461" s="25">
        <f t="shared" si="439"/>
        <v>0</v>
      </c>
      <c r="BD461" s="25">
        <f t="shared" si="440"/>
        <v>0</v>
      </c>
      <c r="BE461" s="25">
        <v>0</v>
      </c>
      <c r="BF461" s="25">
        <f>461</f>
        <v>461</v>
      </c>
      <c r="BH461" s="25">
        <f t="shared" si="441"/>
        <v>0</v>
      </c>
      <c r="BI461" s="25">
        <f t="shared" si="442"/>
        <v>0</v>
      </c>
      <c r="BJ461" s="25">
        <f t="shared" si="443"/>
        <v>0</v>
      </c>
      <c r="BK461" s="27" t="s">
        <v>57</v>
      </c>
      <c r="BL461" s="25">
        <v>731</v>
      </c>
      <c r="BW461" s="25">
        <v>21</v>
      </c>
      <c r="BX461" s="5" t="s">
        <v>1396</v>
      </c>
    </row>
    <row r="462" spans="1:76" x14ac:dyDescent="0.25">
      <c r="A462" s="2" t="s">
        <v>1397</v>
      </c>
      <c r="B462" s="3" t="s">
        <v>1398</v>
      </c>
      <c r="C462" s="93" t="s">
        <v>1399</v>
      </c>
      <c r="D462" s="94"/>
      <c r="E462" s="3" t="s">
        <v>52</v>
      </c>
      <c r="F462" s="25">
        <v>1</v>
      </c>
      <c r="G462" s="25">
        <v>0</v>
      </c>
      <c r="H462" s="25">
        <f t="shared" si="422"/>
        <v>0</v>
      </c>
      <c r="I462" s="25">
        <f t="shared" si="423"/>
        <v>0</v>
      </c>
      <c r="J462" s="25">
        <f t="shared" si="424"/>
        <v>0</v>
      </c>
      <c r="K462" s="26" t="s">
        <v>53</v>
      </c>
      <c r="Z462" s="25">
        <f t="shared" si="425"/>
        <v>0</v>
      </c>
      <c r="AB462" s="25">
        <f t="shared" si="426"/>
        <v>0</v>
      </c>
      <c r="AC462" s="25">
        <f t="shared" si="427"/>
        <v>0</v>
      </c>
      <c r="AD462" s="25">
        <f t="shared" si="428"/>
        <v>0</v>
      </c>
      <c r="AE462" s="25">
        <f t="shared" si="429"/>
        <v>0</v>
      </c>
      <c r="AF462" s="25">
        <f t="shared" si="430"/>
        <v>0</v>
      </c>
      <c r="AG462" s="25">
        <f t="shared" si="431"/>
        <v>0</v>
      </c>
      <c r="AH462" s="25">
        <f t="shared" si="432"/>
        <v>0</v>
      </c>
      <c r="AI462" s="11" t="s">
        <v>46</v>
      </c>
      <c r="AJ462" s="25">
        <f t="shared" si="433"/>
        <v>0</v>
      </c>
      <c r="AK462" s="25">
        <f t="shared" si="434"/>
        <v>0</v>
      </c>
      <c r="AL462" s="25">
        <f t="shared" si="435"/>
        <v>0</v>
      </c>
      <c r="AN462" s="25">
        <v>21</v>
      </c>
      <c r="AO462" s="25">
        <f>G462*0</f>
        <v>0</v>
      </c>
      <c r="AP462" s="25">
        <f>G462*(1-0)</f>
        <v>0</v>
      </c>
      <c r="AQ462" s="27" t="s">
        <v>76</v>
      </c>
      <c r="AV462" s="25">
        <f t="shared" si="436"/>
        <v>0</v>
      </c>
      <c r="AW462" s="25">
        <f t="shared" si="437"/>
        <v>0</v>
      </c>
      <c r="AX462" s="25">
        <f t="shared" si="438"/>
        <v>0</v>
      </c>
      <c r="AY462" s="27" t="s">
        <v>1244</v>
      </c>
      <c r="AZ462" s="27" t="s">
        <v>1245</v>
      </c>
      <c r="BA462" s="11" t="s">
        <v>56</v>
      </c>
      <c r="BC462" s="25">
        <f t="shared" si="439"/>
        <v>0</v>
      </c>
      <c r="BD462" s="25">
        <f t="shared" si="440"/>
        <v>0</v>
      </c>
      <c r="BE462" s="25">
        <v>0</v>
      </c>
      <c r="BF462" s="25">
        <f>462</f>
        <v>462</v>
      </c>
      <c r="BH462" s="25">
        <f t="shared" si="441"/>
        <v>0</v>
      </c>
      <c r="BI462" s="25">
        <f t="shared" si="442"/>
        <v>0</v>
      </c>
      <c r="BJ462" s="25">
        <f t="shared" si="443"/>
        <v>0</v>
      </c>
      <c r="BK462" s="27" t="s">
        <v>57</v>
      </c>
      <c r="BL462" s="25">
        <v>731</v>
      </c>
      <c r="BW462" s="25">
        <v>21</v>
      </c>
      <c r="BX462" s="5" t="s">
        <v>1399</v>
      </c>
    </row>
    <row r="463" spans="1:76" x14ac:dyDescent="0.25">
      <c r="A463" s="2" t="s">
        <v>1400</v>
      </c>
      <c r="B463" s="3" t="s">
        <v>1401</v>
      </c>
      <c r="C463" s="93" t="s">
        <v>1402</v>
      </c>
      <c r="D463" s="94"/>
      <c r="E463" s="3" t="s">
        <v>52</v>
      </c>
      <c r="F463" s="25">
        <v>1</v>
      </c>
      <c r="G463" s="25">
        <v>0</v>
      </c>
      <c r="H463" s="25">
        <f t="shared" si="422"/>
        <v>0</v>
      </c>
      <c r="I463" s="25">
        <f t="shared" si="423"/>
        <v>0</v>
      </c>
      <c r="J463" s="25">
        <f t="shared" si="424"/>
        <v>0</v>
      </c>
      <c r="K463" s="26" t="s">
        <v>53</v>
      </c>
      <c r="Z463" s="25">
        <f t="shared" si="425"/>
        <v>0</v>
      </c>
      <c r="AB463" s="25">
        <f t="shared" si="426"/>
        <v>0</v>
      </c>
      <c r="AC463" s="25">
        <f t="shared" si="427"/>
        <v>0</v>
      </c>
      <c r="AD463" s="25">
        <f t="shared" si="428"/>
        <v>0</v>
      </c>
      <c r="AE463" s="25">
        <f t="shared" si="429"/>
        <v>0</v>
      </c>
      <c r="AF463" s="25">
        <f t="shared" si="430"/>
        <v>0</v>
      </c>
      <c r="AG463" s="25">
        <f t="shared" si="431"/>
        <v>0</v>
      </c>
      <c r="AH463" s="25">
        <f t="shared" si="432"/>
        <v>0</v>
      </c>
      <c r="AI463" s="11" t="s">
        <v>46</v>
      </c>
      <c r="AJ463" s="25">
        <f t="shared" si="433"/>
        <v>0</v>
      </c>
      <c r="AK463" s="25">
        <f t="shared" si="434"/>
        <v>0</v>
      </c>
      <c r="AL463" s="25">
        <f t="shared" si="435"/>
        <v>0</v>
      </c>
      <c r="AN463" s="25">
        <v>21</v>
      </c>
      <c r="AO463" s="25">
        <f>G463*0</f>
        <v>0</v>
      </c>
      <c r="AP463" s="25">
        <f>G463*(1-0)</f>
        <v>0</v>
      </c>
      <c r="AQ463" s="27" t="s">
        <v>76</v>
      </c>
      <c r="AV463" s="25">
        <f t="shared" si="436"/>
        <v>0</v>
      </c>
      <c r="AW463" s="25">
        <f t="shared" si="437"/>
        <v>0</v>
      </c>
      <c r="AX463" s="25">
        <f t="shared" si="438"/>
        <v>0</v>
      </c>
      <c r="AY463" s="27" t="s">
        <v>1244</v>
      </c>
      <c r="AZ463" s="27" t="s">
        <v>1245</v>
      </c>
      <c r="BA463" s="11" t="s">
        <v>56</v>
      </c>
      <c r="BC463" s="25">
        <f t="shared" si="439"/>
        <v>0</v>
      </c>
      <c r="BD463" s="25">
        <f t="shared" si="440"/>
        <v>0</v>
      </c>
      <c r="BE463" s="25">
        <v>0</v>
      </c>
      <c r="BF463" s="25">
        <f>463</f>
        <v>463</v>
      </c>
      <c r="BH463" s="25">
        <f t="shared" si="441"/>
        <v>0</v>
      </c>
      <c r="BI463" s="25">
        <f t="shared" si="442"/>
        <v>0</v>
      </c>
      <c r="BJ463" s="25">
        <f t="shared" si="443"/>
        <v>0</v>
      </c>
      <c r="BK463" s="27" t="s">
        <v>57</v>
      </c>
      <c r="BL463" s="25">
        <v>731</v>
      </c>
      <c r="BW463" s="25">
        <v>21</v>
      </c>
      <c r="BX463" s="5" t="s">
        <v>1402</v>
      </c>
    </row>
    <row r="464" spans="1:76" x14ac:dyDescent="0.25">
      <c r="A464" s="2" t="s">
        <v>1403</v>
      </c>
      <c r="B464" s="3" t="s">
        <v>1404</v>
      </c>
      <c r="C464" s="93" t="s">
        <v>1405</v>
      </c>
      <c r="D464" s="94"/>
      <c r="E464" s="3" t="s">
        <v>52</v>
      </c>
      <c r="F464" s="25">
        <v>1</v>
      </c>
      <c r="G464" s="25">
        <v>0</v>
      </c>
      <c r="H464" s="25">
        <f t="shared" si="422"/>
        <v>0</v>
      </c>
      <c r="I464" s="25">
        <f t="shared" si="423"/>
        <v>0</v>
      </c>
      <c r="J464" s="25">
        <f t="shared" si="424"/>
        <v>0</v>
      </c>
      <c r="K464" s="26" t="s">
        <v>53</v>
      </c>
      <c r="Z464" s="25">
        <f t="shared" si="425"/>
        <v>0</v>
      </c>
      <c r="AB464" s="25">
        <f t="shared" si="426"/>
        <v>0</v>
      </c>
      <c r="AC464" s="25">
        <f t="shared" si="427"/>
        <v>0</v>
      </c>
      <c r="AD464" s="25">
        <f t="shared" si="428"/>
        <v>0</v>
      </c>
      <c r="AE464" s="25">
        <f t="shared" si="429"/>
        <v>0</v>
      </c>
      <c r="AF464" s="25">
        <f t="shared" si="430"/>
        <v>0</v>
      </c>
      <c r="AG464" s="25">
        <f t="shared" si="431"/>
        <v>0</v>
      </c>
      <c r="AH464" s="25">
        <f t="shared" si="432"/>
        <v>0</v>
      </c>
      <c r="AI464" s="11" t="s">
        <v>46</v>
      </c>
      <c r="AJ464" s="25">
        <f t="shared" si="433"/>
        <v>0</v>
      </c>
      <c r="AK464" s="25">
        <f t="shared" si="434"/>
        <v>0</v>
      </c>
      <c r="AL464" s="25">
        <f t="shared" si="435"/>
        <v>0</v>
      </c>
      <c r="AN464" s="25">
        <v>21</v>
      </c>
      <c r="AO464" s="25">
        <f>G464*0</f>
        <v>0</v>
      </c>
      <c r="AP464" s="25">
        <f>G464*(1-0)</f>
        <v>0</v>
      </c>
      <c r="AQ464" s="27" t="s">
        <v>76</v>
      </c>
      <c r="AV464" s="25">
        <f t="shared" si="436"/>
        <v>0</v>
      </c>
      <c r="AW464" s="25">
        <f t="shared" si="437"/>
        <v>0</v>
      </c>
      <c r="AX464" s="25">
        <f t="shared" si="438"/>
        <v>0</v>
      </c>
      <c r="AY464" s="27" t="s">
        <v>1244</v>
      </c>
      <c r="AZ464" s="27" t="s">
        <v>1245</v>
      </c>
      <c r="BA464" s="11" t="s">
        <v>56</v>
      </c>
      <c r="BC464" s="25">
        <f t="shared" si="439"/>
        <v>0</v>
      </c>
      <c r="BD464" s="25">
        <f t="shared" si="440"/>
        <v>0</v>
      </c>
      <c r="BE464" s="25">
        <v>0</v>
      </c>
      <c r="BF464" s="25">
        <f>464</f>
        <v>464</v>
      </c>
      <c r="BH464" s="25">
        <f t="shared" si="441"/>
        <v>0</v>
      </c>
      <c r="BI464" s="25">
        <f t="shared" si="442"/>
        <v>0</v>
      </c>
      <c r="BJ464" s="25">
        <f t="shared" si="443"/>
        <v>0</v>
      </c>
      <c r="BK464" s="27" t="s">
        <v>57</v>
      </c>
      <c r="BL464" s="25">
        <v>731</v>
      </c>
      <c r="BW464" s="25">
        <v>21</v>
      </c>
      <c r="BX464" s="5" t="s">
        <v>1405</v>
      </c>
    </row>
    <row r="465" spans="1:76" x14ac:dyDescent="0.25">
      <c r="A465" s="2" t="s">
        <v>1406</v>
      </c>
      <c r="B465" s="3" t="s">
        <v>1407</v>
      </c>
      <c r="C465" s="93" t="s">
        <v>1408</v>
      </c>
      <c r="D465" s="94"/>
      <c r="E465" s="3" t="s">
        <v>52</v>
      </c>
      <c r="F465" s="25">
        <v>54</v>
      </c>
      <c r="G465" s="25">
        <v>0</v>
      </c>
      <c r="H465" s="25">
        <f t="shared" si="422"/>
        <v>0</v>
      </c>
      <c r="I465" s="25">
        <f t="shared" si="423"/>
        <v>0</v>
      </c>
      <c r="J465" s="25">
        <f t="shared" si="424"/>
        <v>0</v>
      </c>
      <c r="K465" s="26" t="s">
        <v>53</v>
      </c>
      <c r="Z465" s="25">
        <f t="shared" si="425"/>
        <v>0</v>
      </c>
      <c r="AB465" s="25">
        <f t="shared" si="426"/>
        <v>0</v>
      </c>
      <c r="AC465" s="25">
        <f t="shared" si="427"/>
        <v>0</v>
      </c>
      <c r="AD465" s="25">
        <f t="shared" si="428"/>
        <v>0</v>
      </c>
      <c r="AE465" s="25">
        <f t="shared" si="429"/>
        <v>0</v>
      </c>
      <c r="AF465" s="25">
        <f t="shared" si="430"/>
        <v>0</v>
      </c>
      <c r="AG465" s="25">
        <f t="shared" si="431"/>
        <v>0</v>
      </c>
      <c r="AH465" s="25">
        <f t="shared" si="432"/>
        <v>0</v>
      </c>
      <c r="AI465" s="11" t="s">
        <v>46</v>
      </c>
      <c r="AJ465" s="25">
        <f t="shared" si="433"/>
        <v>0</v>
      </c>
      <c r="AK465" s="25">
        <f t="shared" si="434"/>
        <v>0</v>
      </c>
      <c r="AL465" s="25">
        <f t="shared" si="435"/>
        <v>0</v>
      </c>
      <c r="AN465" s="25">
        <v>21</v>
      </c>
      <c r="AO465" s="25">
        <f>G465*0.55</f>
        <v>0</v>
      </c>
      <c r="AP465" s="25">
        <f>G465*(1-0.55)</f>
        <v>0</v>
      </c>
      <c r="AQ465" s="27" t="s">
        <v>76</v>
      </c>
      <c r="AV465" s="25">
        <f t="shared" si="436"/>
        <v>0</v>
      </c>
      <c r="AW465" s="25">
        <f t="shared" si="437"/>
        <v>0</v>
      </c>
      <c r="AX465" s="25">
        <f t="shared" si="438"/>
        <v>0</v>
      </c>
      <c r="AY465" s="27" t="s">
        <v>1244</v>
      </c>
      <c r="AZ465" s="27" t="s">
        <v>1245</v>
      </c>
      <c r="BA465" s="11" t="s">
        <v>56</v>
      </c>
      <c r="BC465" s="25">
        <f t="shared" si="439"/>
        <v>0</v>
      </c>
      <c r="BD465" s="25">
        <f t="shared" si="440"/>
        <v>0</v>
      </c>
      <c r="BE465" s="25">
        <v>0</v>
      </c>
      <c r="BF465" s="25">
        <f>465</f>
        <v>465</v>
      </c>
      <c r="BH465" s="25">
        <f t="shared" si="441"/>
        <v>0</v>
      </c>
      <c r="BI465" s="25">
        <f t="shared" si="442"/>
        <v>0</v>
      </c>
      <c r="BJ465" s="25">
        <f t="shared" si="443"/>
        <v>0</v>
      </c>
      <c r="BK465" s="27" t="s">
        <v>57</v>
      </c>
      <c r="BL465" s="25">
        <v>731</v>
      </c>
      <c r="BW465" s="25">
        <v>21</v>
      </c>
      <c r="BX465" s="5" t="s">
        <v>1408</v>
      </c>
    </row>
    <row r="466" spans="1:76" x14ac:dyDescent="0.25">
      <c r="A466" s="2" t="s">
        <v>1409</v>
      </c>
      <c r="B466" s="3" t="s">
        <v>1410</v>
      </c>
      <c r="C466" s="93" t="s">
        <v>1411</v>
      </c>
      <c r="D466" s="94"/>
      <c r="E466" s="3" t="s">
        <v>52</v>
      </c>
      <c r="F466" s="25">
        <v>1</v>
      </c>
      <c r="G466" s="25">
        <v>0</v>
      </c>
      <c r="H466" s="25">
        <f t="shared" si="422"/>
        <v>0</v>
      </c>
      <c r="I466" s="25">
        <f t="shared" si="423"/>
        <v>0</v>
      </c>
      <c r="J466" s="25">
        <f t="shared" si="424"/>
        <v>0</v>
      </c>
      <c r="K466" s="26" t="s">
        <v>53</v>
      </c>
      <c r="Z466" s="25">
        <f t="shared" si="425"/>
        <v>0</v>
      </c>
      <c r="AB466" s="25">
        <f t="shared" si="426"/>
        <v>0</v>
      </c>
      <c r="AC466" s="25">
        <f t="shared" si="427"/>
        <v>0</v>
      </c>
      <c r="AD466" s="25">
        <f t="shared" si="428"/>
        <v>0</v>
      </c>
      <c r="AE466" s="25">
        <f t="shared" si="429"/>
        <v>0</v>
      </c>
      <c r="AF466" s="25">
        <f t="shared" si="430"/>
        <v>0</v>
      </c>
      <c r="AG466" s="25">
        <f t="shared" si="431"/>
        <v>0</v>
      </c>
      <c r="AH466" s="25">
        <f t="shared" si="432"/>
        <v>0</v>
      </c>
      <c r="AI466" s="11" t="s">
        <v>46</v>
      </c>
      <c r="AJ466" s="25">
        <f t="shared" si="433"/>
        <v>0</v>
      </c>
      <c r="AK466" s="25">
        <f t="shared" si="434"/>
        <v>0</v>
      </c>
      <c r="AL466" s="25">
        <f t="shared" si="435"/>
        <v>0</v>
      </c>
      <c r="AN466" s="25">
        <v>21</v>
      </c>
      <c r="AO466" s="25">
        <f>G466*0</f>
        <v>0</v>
      </c>
      <c r="AP466" s="25">
        <f>G466*(1-0)</f>
        <v>0</v>
      </c>
      <c r="AQ466" s="27" t="s">
        <v>76</v>
      </c>
      <c r="AV466" s="25">
        <f t="shared" si="436"/>
        <v>0</v>
      </c>
      <c r="AW466" s="25">
        <f t="shared" si="437"/>
        <v>0</v>
      </c>
      <c r="AX466" s="25">
        <f t="shared" si="438"/>
        <v>0</v>
      </c>
      <c r="AY466" s="27" t="s">
        <v>1244</v>
      </c>
      <c r="AZ466" s="27" t="s">
        <v>1245</v>
      </c>
      <c r="BA466" s="11" t="s">
        <v>56</v>
      </c>
      <c r="BC466" s="25">
        <f t="shared" si="439"/>
        <v>0</v>
      </c>
      <c r="BD466" s="25">
        <f t="shared" si="440"/>
        <v>0</v>
      </c>
      <c r="BE466" s="25">
        <v>0</v>
      </c>
      <c r="BF466" s="25">
        <f>466</f>
        <v>466</v>
      </c>
      <c r="BH466" s="25">
        <f t="shared" si="441"/>
        <v>0</v>
      </c>
      <c r="BI466" s="25">
        <f t="shared" si="442"/>
        <v>0</v>
      </c>
      <c r="BJ466" s="25">
        <f t="shared" si="443"/>
        <v>0</v>
      </c>
      <c r="BK466" s="27" t="s">
        <v>57</v>
      </c>
      <c r="BL466" s="25">
        <v>731</v>
      </c>
      <c r="BW466" s="25">
        <v>21</v>
      </c>
      <c r="BX466" s="5" t="s">
        <v>1411</v>
      </c>
    </row>
    <row r="467" spans="1:76" x14ac:dyDescent="0.25">
      <c r="A467" s="2" t="s">
        <v>1412</v>
      </c>
      <c r="B467" s="3" t="s">
        <v>1413</v>
      </c>
      <c r="C467" s="93" t="s">
        <v>826</v>
      </c>
      <c r="D467" s="94"/>
      <c r="E467" s="3" t="s">
        <v>796</v>
      </c>
      <c r="F467" s="25">
        <v>10</v>
      </c>
      <c r="G467" s="25">
        <v>0</v>
      </c>
      <c r="H467" s="25">
        <f t="shared" si="422"/>
        <v>0</v>
      </c>
      <c r="I467" s="25">
        <f t="shared" si="423"/>
        <v>0</v>
      </c>
      <c r="J467" s="25">
        <f t="shared" si="424"/>
        <v>0</v>
      </c>
      <c r="K467" s="26" t="s">
        <v>53</v>
      </c>
      <c r="Z467" s="25">
        <f t="shared" si="425"/>
        <v>0</v>
      </c>
      <c r="AB467" s="25">
        <f t="shared" si="426"/>
        <v>0</v>
      </c>
      <c r="AC467" s="25">
        <f t="shared" si="427"/>
        <v>0</v>
      </c>
      <c r="AD467" s="25">
        <f t="shared" si="428"/>
        <v>0</v>
      </c>
      <c r="AE467" s="25">
        <f t="shared" si="429"/>
        <v>0</v>
      </c>
      <c r="AF467" s="25">
        <f t="shared" si="430"/>
        <v>0</v>
      </c>
      <c r="AG467" s="25">
        <f t="shared" si="431"/>
        <v>0</v>
      </c>
      <c r="AH467" s="25">
        <f t="shared" si="432"/>
        <v>0</v>
      </c>
      <c r="AI467" s="11" t="s">
        <v>46</v>
      </c>
      <c r="AJ467" s="25">
        <f t="shared" si="433"/>
        <v>0</v>
      </c>
      <c r="AK467" s="25">
        <f t="shared" si="434"/>
        <v>0</v>
      </c>
      <c r="AL467" s="25">
        <f t="shared" si="435"/>
        <v>0</v>
      </c>
      <c r="AN467" s="25">
        <v>21</v>
      </c>
      <c r="AO467" s="25">
        <f>G467*0</f>
        <v>0</v>
      </c>
      <c r="AP467" s="25">
        <f>G467*(1-0)</f>
        <v>0</v>
      </c>
      <c r="AQ467" s="27" t="s">
        <v>76</v>
      </c>
      <c r="AV467" s="25">
        <f t="shared" si="436"/>
        <v>0</v>
      </c>
      <c r="AW467" s="25">
        <f t="shared" si="437"/>
        <v>0</v>
      </c>
      <c r="AX467" s="25">
        <f t="shared" si="438"/>
        <v>0</v>
      </c>
      <c r="AY467" s="27" t="s">
        <v>1244</v>
      </c>
      <c r="AZ467" s="27" t="s">
        <v>1245</v>
      </c>
      <c r="BA467" s="11" t="s">
        <v>56</v>
      </c>
      <c r="BC467" s="25">
        <f t="shared" si="439"/>
        <v>0</v>
      </c>
      <c r="BD467" s="25">
        <f t="shared" si="440"/>
        <v>0</v>
      </c>
      <c r="BE467" s="25">
        <v>0</v>
      </c>
      <c r="BF467" s="25">
        <f>467</f>
        <v>467</v>
      </c>
      <c r="BH467" s="25">
        <f t="shared" si="441"/>
        <v>0</v>
      </c>
      <c r="BI467" s="25">
        <f t="shared" si="442"/>
        <v>0</v>
      </c>
      <c r="BJ467" s="25">
        <f t="shared" si="443"/>
        <v>0</v>
      </c>
      <c r="BK467" s="27" t="s">
        <v>57</v>
      </c>
      <c r="BL467" s="25">
        <v>731</v>
      </c>
      <c r="BW467" s="25">
        <v>21</v>
      </c>
      <c r="BX467" s="5" t="s">
        <v>826</v>
      </c>
    </row>
    <row r="468" spans="1:76" x14ac:dyDescent="0.25">
      <c r="A468" s="2" t="s">
        <v>1414</v>
      </c>
      <c r="B468" s="3" t="s">
        <v>1415</v>
      </c>
      <c r="C468" s="93" t="s">
        <v>829</v>
      </c>
      <c r="D468" s="94"/>
      <c r="E468" s="3" t="s">
        <v>52</v>
      </c>
      <c r="F468" s="25">
        <v>1</v>
      </c>
      <c r="G468" s="25">
        <v>0</v>
      </c>
      <c r="H468" s="25">
        <f t="shared" si="422"/>
        <v>0</v>
      </c>
      <c r="I468" s="25">
        <f t="shared" si="423"/>
        <v>0</v>
      </c>
      <c r="J468" s="25">
        <f t="shared" si="424"/>
        <v>0</v>
      </c>
      <c r="K468" s="26" t="s">
        <v>53</v>
      </c>
      <c r="Z468" s="25">
        <f t="shared" si="425"/>
        <v>0</v>
      </c>
      <c r="AB468" s="25">
        <f t="shared" si="426"/>
        <v>0</v>
      </c>
      <c r="AC468" s="25">
        <f t="shared" si="427"/>
        <v>0</v>
      </c>
      <c r="AD468" s="25">
        <f t="shared" si="428"/>
        <v>0</v>
      </c>
      <c r="AE468" s="25">
        <f t="shared" si="429"/>
        <v>0</v>
      </c>
      <c r="AF468" s="25">
        <f t="shared" si="430"/>
        <v>0</v>
      </c>
      <c r="AG468" s="25">
        <f t="shared" si="431"/>
        <v>0</v>
      </c>
      <c r="AH468" s="25">
        <f t="shared" si="432"/>
        <v>0</v>
      </c>
      <c r="AI468" s="11" t="s">
        <v>46</v>
      </c>
      <c r="AJ468" s="25">
        <f t="shared" si="433"/>
        <v>0</v>
      </c>
      <c r="AK468" s="25">
        <f t="shared" si="434"/>
        <v>0</v>
      </c>
      <c r="AL468" s="25">
        <f t="shared" si="435"/>
        <v>0</v>
      </c>
      <c r="AN468" s="25">
        <v>21</v>
      </c>
      <c r="AO468" s="25">
        <f>G468*0</f>
        <v>0</v>
      </c>
      <c r="AP468" s="25">
        <f>G468*(1-0)</f>
        <v>0</v>
      </c>
      <c r="AQ468" s="27" t="s">
        <v>76</v>
      </c>
      <c r="AV468" s="25">
        <f t="shared" si="436"/>
        <v>0</v>
      </c>
      <c r="AW468" s="25">
        <f t="shared" si="437"/>
        <v>0</v>
      </c>
      <c r="AX468" s="25">
        <f t="shared" si="438"/>
        <v>0</v>
      </c>
      <c r="AY468" s="27" t="s">
        <v>1244</v>
      </c>
      <c r="AZ468" s="27" t="s">
        <v>1245</v>
      </c>
      <c r="BA468" s="11" t="s">
        <v>56</v>
      </c>
      <c r="BC468" s="25">
        <f t="shared" si="439"/>
        <v>0</v>
      </c>
      <c r="BD468" s="25">
        <f t="shared" si="440"/>
        <v>0</v>
      </c>
      <c r="BE468" s="25">
        <v>0</v>
      </c>
      <c r="BF468" s="25">
        <f>468</f>
        <v>468</v>
      </c>
      <c r="BH468" s="25">
        <f t="shared" si="441"/>
        <v>0</v>
      </c>
      <c r="BI468" s="25">
        <f t="shared" si="442"/>
        <v>0</v>
      </c>
      <c r="BJ468" s="25">
        <f t="shared" si="443"/>
        <v>0</v>
      </c>
      <c r="BK468" s="27" t="s">
        <v>57</v>
      </c>
      <c r="BL468" s="25">
        <v>731</v>
      </c>
      <c r="BW468" s="25">
        <v>21</v>
      </c>
      <c r="BX468" s="5" t="s">
        <v>829</v>
      </c>
    </row>
    <row r="469" spans="1:76" x14ac:dyDescent="0.25">
      <c r="A469" s="2" t="s">
        <v>1416</v>
      </c>
      <c r="B469" s="3" t="s">
        <v>1417</v>
      </c>
      <c r="C469" s="93" t="s">
        <v>832</v>
      </c>
      <c r="D469" s="94"/>
      <c r="E469" s="3" t="s">
        <v>52</v>
      </c>
      <c r="F469" s="25">
        <v>1</v>
      </c>
      <c r="G469" s="25">
        <v>0</v>
      </c>
      <c r="H469" s="25">
        <f t="shared" si="422"/>
        <v>0</v>
      </c>
      <c r="I469" s="25">
        <f t="shared" si="423"/>
        <v>0</v>
      </c>
      <c r="J469" s="25">
        <f t="shared" si="424"/>
        <v>0</v>
      </c>
      <c r="K469" s="26" t="s">
        <v>53</v>
      </c>
      <c r="Z469" s="25">
        <f t="shared" si="425"/>
        <v>0</v>
      </c>
      <c r="AB469" s="25">
        <f t="shared" si="426"/>
        <v>0</v>
      </c>
      <c r="AC469" s="25">
        <f t="shared" si="427"/>
        <v>0</v>
      </c>
      <c r="AD469" s="25">
        <f t="shared" si="428"/>
        <v>0</v>
      </c>
      <c r="AE469" s="25">
        <f t="shared" si="429"/>
        <v>0</v>
      </c>
      <c r="AF469" s="25">
        <f t="shared" si="430"/>
        <v>0</v>
      </c>
      <c r="AG469" s="25">
        <f t="shared" si="431"/>
        <v>0</v>
      </c>
      <c r="AH469" s="25">
        <f t="shared" si="432"/>
        <v>0</v>
      </c>
      <c r="AI469" s="11" t="s">
        <v>46</v>
      </c>
      <c r="AJ469" s="25">
        <f t="shared" si="433"/>
        <v>0</v>
      </c>
      <c r="AK469" s="25">
        <f t="shared" si="434"/>
        <v>0</v>
      </c>
      <c r="AL469" s="25">
        <f t="shared" si="435"/>
        <v>0</v>
      </c>
      <c r="AN469" s="25">
        <v>21</v>
      </c>
      <c r="AO469" s="25">
        <f>G469*0</f>
        <v>0</v>
      </c>
      <c r="AP469" s="25">
        <f>G469*(1-0)</f>
        <v>0</v>
      </c>
      <c r="AQ469" s="27" t="s">
        <v>76</v>
      </c>
      <c r="AV469" s="25">
        <f t="shared" si="436"/>
        <v>0</v>
      </c>
      <c r="AW469" s="25">
        <f t="shared" si="437"/>
        <v>0</v>
      </c>
      <c r="AX469" s="25">
        <f t="shared" si="438"/>
        <v>0</v>
      </c>
      <c r="AY469" s="27" t="s">
        <v>1244</v>
      </c>
      <c r="AZ469" s="27" t="s">
        <v>1245</v>
      </c>
      <c r="BA469" s="11" t="s">
        <v>56</v>
      </c>
      <c r="BC469" s="25">
        <f t="shared" si="439"/>
        <v>0</v>
      </c>
      <c r="BD469" s="25">
        <f t="shared" si="440"/>
        <v>0</v>
      </c>
      <c r="BE469" s="25">
        <v>0</v>
      </c>
      <c r="BF469" s="25">
        <f>469</f>
        <v>469</v>
      </c>
      <c r="BH469" s="25">
        <f t="shared" si="441"/>
        <v>0</v>
      </c>
      <c r="BI469" s="25">
        <f t="shared" si="442"/>
        <v>0</v>
      </c>
      <c r="BJ469" s="25">
        <f t="shared" si="443"/>
        <v>0</v>
      </c>
      <c r="BK469" s="27" t="s">
        <v>57</v>
      </c>
      <c r="BL469" s="25">
        <v>731</v>
      </c>
      <c r="BW469" s="25">
        <v>21</v>
      </c>
      <c r="BX469" s="5" t="s">
        <v>832</v>
      </c>
    </row>
    <row r="470" spans="1:76" x14ac:dyDescent="0.25">
      <c r="A470" s="2" t="s">
        <v>1418</v>
      </c>
      <c r="B470" s="3" t="s">
        <v>1419</v>
      </c>
      <c r="C470" s="93" t="s">
        <v>835</v>
      </c>
      <c r="D470" s="94"/>
      <c r="E470" s="3" t="s">
        <v>52</v>
      </c>
      <c r="F470" s="25">
        <v>1</v>
      </c>
      <c r="G470" s="25">
        <v>0</v>
      </c>
      <c r="H470" s="25">
        <f t="shared" si="422"/>
        <v>0</v>
      </c>
      <c r="I470" s="25">
        <f t="shared" si="423"/>
        <v>0</v>
      </c>
      <c r="J470" s="25">
        <f t="shared" si="424"/>
        <v>0</v>
      </c>
      <c r="K470" s="26" t="s">
        <v>53</v>
      </c>
      <c r="Z470" s="25">
        <f t="shared" si="425"/>
        <v>0</v>
      </c>
      <c r="AB470" s="25">
        <f t="shared" si="426"/>
        <v>0</v>
      </c>
      <c r="AC470" s="25">
        <f t="shared" si="427"/>
        <v>0</v>
      </c>
      <c r="AD470" s="25">
        <f t="shared" si="428"/>
        <v>0</v>
      </c>
      <c r="AE470" s="25">
        <f t="shared" si="429"/>
        <v>0</v>
      </c>
      <c r="AF470" s="25">
        <f t="shared" si="430"/>
        <v>0</v>
      </c>
      <c r="AG470" s="25">
        <f t="shared" si="431"/>
        <v>0</v>
      </c>
      <c r="AH470" s="25">
        <f t="shared" si="432"/>
        <v>0</v>
      </c>
      <c r="AI470" s="11" t="s">
        <v>46</v>
      </c>
      <c r="AJ470" s="25">
        <f t="shared" si="433"/>
        <v>0</v>
      </c>
      <c r="AK470" s="25">
        <f t="shared" si="434"/>
        <v>0</v>
      </c>
      <c r="AL470" s="25">
        <f t="shared" si="435"/>
        <v>0</v>
      </c>
      <c r="AN470" s="25">
        <v>21</v>
      </c>
      <c r="AO470" s="25">
        <f>G470*0</f>
        <v>0</v>
      </c>
      <c r="AP470" s="25">
        <f>G470*(1-0)</f>
        <v>0</v>
      </c>
      <c r="AQ470" s="27" t="s">
        <v>76</v>
      </c>
      <c r="AV470" s="25">
        <f t="shared" si="436"/>
        <v>0</v>
      </c>
      <c r="AW470" s="25">
        <f t="shared" si="437"/>
        <v>0</v>
      </c>
      <c r="AX470" s="25">
        <f t="shared" si="438"/>
        <v>0</v>
      </c>
      <c r="AY470" s="27" t="s">
        <v>1244</v>
      </c>
      <c r="AZ470" s="27" t="s">
        <v>1245</v>
      </c>
      <c r="BA470" s="11" t="s">
        <v>56</v>
      </c>
      <c r="BC470" s="25">
        <f t="shared" si="439"/>
        <v>0</v>
      </c>
      <c r="BD470" s="25">
        <f t="shared" si="440"/>
        <v>0</v>
      </c>
      <c r="BE470" s="25">
        <v>0</v>
      </c>
      <c r="BF470" s="25">
        <f>470</f>
        <v>470</v>
      </c>
      <c r="BH470" s="25">
        <f t="shared" si="441"/>
        <v>0</v>
      </c>
      <c r="BI470" s="25">
        <f t="shared" si="442"/>
        <v>0</v>
      </c>
      <c r="BJ470" s="25">
        <f t="shared" si="443"/>
        <v>0</v>
      </c>
      <c r="BK470" s="27" t="s">
        <v>57</v>
      </c>
      <c r="BL470" s="25">
        <v>731</v>
      </c>
      <c r="BW470" s="25">
        <v>21</v>
      </c>
      <c r="BX470" s="5" t="s">
        <v>835</v>
      </c>
    </row>
    <row r="471" spans="1:76" x14ac:dyDescent="0.25">
      <c r="A471" s="28" t="s">
        <v>46</v>
      </c>
      <c r="B471" s="29" t="s">
        <v>1420</v>
      </c>
      <c r="C471" s="150" t="s">
        <v>1421</v>
      </c>
      <c r="D471" s="151"/>
      <c r="E471" s="30" t="s">
        <v>4</v>
      </c>
      <c r="F471" s="30" t="s">
        <v>4</v>
      </c>
      <c r="G471" s="30" t="s">
        <v>4</v>
      </c>
      <c r="H471" s="1">
        <f>ROUND(SUM(H472:H474),1)</f>
        <v>0</v>
      </c>
      <c r="I471" s="1">
        <f>ROUND(SUM(I472:I474),1)</f>
        <v>0</v>
      </c>
      <c r="J471" s="1">
        <f>ROUND(SUM(J472:J474),1)</f>
        <v>0</v>
      </c>
      <c r="K471" s="31" t="s">
        <v>46</v>
      </c>
      <c r="AI471" s="11" t="s">
        <v>46</v>
      </c>
      <c r="AS471" s="1">
        <f>SUM(AJ472:AJ474)</f>
        <v>0</v>
      </c>
      <c r="AT471" s="1">
        <f>SUM(AK472:AK474)</f>
        <v>0</v>
      </c>
      <c r="AU471" s="1">
        <f>SUM(AL472:AL474)</f>
        <v>0</v>
      </c>
    </row>
    <row r="472" spans="1:76" x14ac:dyDescent="0.25">
      <c r="A472" s="2" t="s">
        <v>1422</v>
      </c>
      <c r="B472" s="3" t="s">
        <v>1423</v>
      </c>
      <c r="C472" s="93" t="s">
        <v>1424</v>
      </c>
      <c r="D472" s="94"/>
      <c r="E472" s="3" t="s">
        <v>93</v>
      </c>
      <c r="F472" s="25">
        <v>542.68499999999995</v>
      </c>
      <c r="G472" s="25">
        <v>0</v>
      </c>
      <c r="H472" s="25">
        <f>ROUND(F472*AO472,2)</f>
        <v>0</v>
      </c>
      <c r="I472" s="25">
        <f>ROUND(F472*AP472,2)</f>
        <v>0</v>
      </c>
      <c r="J472" s="25">
        <f>ROUND(F472*G472,1)</f>
        <v>0</v>
      </c>
      <c r="K472" s="26" t="s">
        <v>53</v>
      </c>
      <c r="Z472" s="25">
        <f>ROUND(IF(AQ472="5",BJ472,0),2)</f>
        <v>0</v>
      </c>
      <c r="AB472" s="25">
        <f>ROUND(IF(AQ472="1",BH472,0),2)</f>
        <v>0</v>
      </c>
      <c r="AC472" s="25">
        <f>ROUND(IF(AQ472="1",BI472,0),2)</f>
        <v>0</v>
      </c>
      <c r="AD472" s="25">
        <f>ROUND(IF(AQ472="7",BH472,0),2)</f>
        <v>0</v>
      </c>
      <c r="AE472" s="25">
        <f>ROUND(IF(AQ472="7",BI472,0),2)</f>
        <v>0</v>
      </c>
      <c r="AF472" s="25">
        <f>ROUND(IF(AQ472="2",BH472,0),2)</f>
        <v>0</v>
      </c>
      <c r="AG472" s="25">
        <f>ROUND(IF(AQ472="2",BI472,0),2)</f>
        <v>0</v>
      </c>
      <c r="AH472" s="25">
        <f>ROUND(IF(AQ472="0",BJ472,0),2)</f>
        <v>0</v>
      </c>
      <c r="AI472" s="11" t="s">
        <v>46</v>
      </c>
      <c r="AJ472" s="25">
        <f>IF(AN472=0,J472,0)</f>
        <v>0</v>
      </c>
      <c r="AK472" s="25">
        <f>IF(AN472=12,J472,0)</f>
        <v>0</v>
      </c>
      <c r="AL472" s="25">
        <f>IF(AN472=21,J472,0)</f>
        <v>0</v>
      </c>
      <c r="AN472" s="25">
        <v>21</v>
      </c>
      <c r="AO472" s="25">
        <f>G472*0.749883143</f>
        <v>0</v>
      </c>
      <c r="AP472" s="25">
        <f>G472*(1-0.749883143)</f>
        <v>0</v>
      </c>
      <c r="AQ472" s="27" t="s">
        <v>76</v>
      </c>
      <c r="AV472" s="25">
        <f>ROUND(AW472+AX472,2)</f>
        <v>0</v>
      </c>
      <c r="AW472" s="25">
        <f>ROUND(F472*AO472,2)</f>
        <v>0</v>
      </c>
      <c r="AX472" s="25">
        <f>ROUND(F472*AP472,2)</f>
        <v>0</v>
      </c>
      <c r="AY472" s="27" t="s">
        <v>1425</v>
      </c>
      <c r="AZ472" s="27" t="s">
        <v>1426</v>
      </c>
      <c r="BA472" s="11" t="s">
        <v>56</v>
      </c>
      <c r="BC472" s="25">
        <f>AW472+AX472</f>
        <v>0</v>
      </c>
      <c r="BD472" s="25">
        <f>G472/(100-BE472)*100</f>
        <v>0</v>
      </c>
      <c r="BE472" s="25">
        <v>0</v>
      </c>
      <c r="BF472" s="25">
        <f>472</f>
        <v>472</v>
      </c>
      <c r="BH472" s="25">
        <f>F472*AO472</f>
        <v>0</v>
      </c>
      <c r="BI472" s="25">
        <f>F472*AP472</f>
        <v>0</v>
      </c>
      <c r="BJ472" s="25">
        <f>F472*G472</f>
        <v>0</v>
      </c>
      <c r="BK472" s="27" t="s">
        <v>57</v>
      </c>
      <c r="BL472" s="25">
        <v>762</v>
      </c>
      <c r="BW472" s="25">
        <v>21</v>
      </c>
      <c r="BX472" s="5" t="s">
        <v>1424</v>
      </c>
    </row>
    <row r="473" spans="1:76" x14ac:dyDescent="0.25">
      <c r="A473" s="2" t="s">
        <v>1427</v>
      </c>
      <c r="B473" s="3" t="s">
        <v>1428</v>
      </c>
      <c r="C473" s="93" t="s">
        <v>1429</v>
      </c>
      <c r="D473" s="94"/>
      <c r="E473" s="3" t="s">
        <v>93</v>
      </c>
      <c r="F473" s="25">
        <v>542.68499999999995</v>
      </c>
      <c r="G473" s="25">
        <v>0</v>
      </c>
      <c r="H473" s="25">
        <f>ROUND(F473*AO473,2)</f>
        <v>0</v>
      </c>
      <c r="I473" s="25">
        <f>ROUND(F473*AP473,2)</f>
        <v>0</v>
      </c>
      <c r="J473" s="25">
        <f>ROUND(F473*G473,1)</f>
        <v>0</v>
      </c>
      <c r="K473" s="26" t="s">
        <v>53</v>
      </c>
      <c r="Z473" s="25">
        <f>ROUND(IF(AQ473="5",BJ473,0),2)</f>
        <v>0</v>
      </c>
      <c r="AB473" s="25">
        <f>ROUND(IF(AQ473="1",BH473,0),2)</f>
        <v>0</v>
      </c>
      <c r="AC473" s="25">
        <f>ROUND(IF(AQ473="1",BI473,0),2)</f>
        <v>0</v>
      </c>
      <c r="AD473" s="25">
        <f>ROUND(IF(AQ473="7",BH473,0),2)</f>
        <v>0</v>
      </c>
      <c r="AE473" s="25">
        <f>ROUND(IF(AQ473="7",BI473,0),2)</f>
        <v>0</v>
      </c>
      <c r="AF473" s="25">
        <f>ROUND(IF(AQ473="2",BH473,0),2)</f>
        <v>0</v>
      </c>
      <c r="AG473" s="25">
        <f>ROUND(IF(AQ473="2",BI473,0),2)</f>
        <v>0</v>
      </c>
      <c r="AH473" s="25">
        <f>ROUND(IF(AQ473="0",BJ473,0),2)</f>
        <v>0</v>
      </c>
      <c r="AI473" s="11" t="s">
        <v>46</v>
      </c>
      <c r="AJ473" s="25">
        <f>IF(AN473=0,J473,0)</f>
        <v>0</v>
      </c>
      <c r="AK473" s="25">
        <f>IF(AN473=12,J473,0)</f>
        <v>0</v>
      </c>
      <c r="AL473" s="25">
        <f>IF(AN473=21,J473,0)</f>
        <v>0</v>
      </c>
      <c r="AN473" s="25">
        <v>21</v>
      </c>
      <c r="AO473" s="25">
        <f>G473*0</f>
        <v>0</v>
      </c>
      <c r="AP473" s="25">
        <f>G473*(1-0)</f>
        <v>0</v>
      </c>
      <c r="AQ473" s="27" t="s">
        <v>76</v>
      </c>
      <c r="AV473" s="25">
        <f>ROUND(AW473+AX473,2)</f>
        <v>0</v>
      </c>
      <c r="AW473" s="25">
        <f>ROUND(F473*AO473,2)</f>
        <v>0</v>
      </c>
      <c r="AX473" s="25">
        <f>ROUND(F473*AP473,2)</f>
        <v>0</v>
      </c>
      <c r="AY473" s="27" t="s">
        <v>1425</v>
      </c>
      <c r="AZ473" s="27" t="s">
        <v>1426</v>
      </c>
      <c r="BA473" s="11" t="s">
        <v>56</v>
      </c>
      <c r="BC473" s="25">
        <f>AW473+AX473</f>
        <v>0</v>
      </c>
      <c r="BD473" s="25">
        <f>G473/(100-BE473)*100</f>
        <v>0</v>
      </c>
      <c r="BE473" s="25">
        <v>0</v>
      </c>
      <c r="BF473" s="25">
        <f>473</f>
        <v>473</v>
      </c>
      <c r="BH473" s="25">
        <f>F473*AO473</f>
        <v>0</v>
      </c>
      <c r="BI473" s="25">
        <f>F473*AP473</f>
        <v>0</v>
      </c>
      <c r="BJ473" s="25">
        <f>F473*G473</f>
        <v>0</v>
      </c>
      <c r="BK473" s="27" t="s">
        <v>57</v>
      </c>
      <c r="BL473" s="25">
        <v>762</v>
      </c>
      <c r="BW473" s="25">
        <v>21</v>
      </c>
      <c r="BX473" s="5" t="s">
        <v>1429</v>
      </c>
    </row>
    <row r="474" spans="1:76" x14ac:dyDescent="0.25">
      <c r="A474" s="2" t="s">
        <v>1430</v>
      </c>
      <c r="B474" s="3" t="s">
        <v>1431</v>
      </c>
      <c r="C474" s="93" t="s">
        <v>1432</v>
      </c>
      <c r="D474" s="94"/>
      <c r="E474" s="3" t="s">
        <v>71</v>
      </c>
      <c r="F474" s="25">
        <v>0.78700000000000003</v>
      </c>
      <c r="G474" s="25">
        <v>0</v>
      </c>
      <c r="H474" s="25">
        <f>ROUND(F474*AO474,2)</f>
        <v>0</v>
      </c>
      <c r="I474" s="25">
        <f>ROUND(F474*AP474,2)</f>
        <v>0</v>
      </c>
      <c r="J474" s="25">
        <f>ROUND(F474*G474,1)</f>
        <v>0</v>
      </c>
      <c r="K474" s="26" t="s">
        <v>53</v>
      </c>
      <c r="Z474" s="25">
        <f>ROUND(IF(AQ474="5",BJ474,0),2)</f>
        <v>0</v>
      </c>
      <c r="AB474" s="25">
        <f>ROUND(IF(AQ474="1",BH474,0),2)</f>
        <v>0</v>
      </c>
      <c r="AC474" s="25">
        <f>ROUND(IF(AQ474="1",BI474,0),2)</f>
        <v>0</v>
      </c>
      <c r="AD474" s="25">
        <f>ROUND(IF(AQ474="7",BH474,0),2)</f>
        <v>0</v>
      </c>
      <c r="AE474" s="25">
        <f>ROUND(IF(AQ474="7",BI474,0),2)</f>
        <v>0</v>
      </c>
      <c r="AF474" s="25">
        <f>ROUND(IF(AQ474="2",BH474,0),2)</f>
        <v>0</v>
      </c>
      <c r="AG474" s="25">
        <f>ROUND(IF(AQ474="2",BI474,0),2)</f>
        <v>0</v>
      </c>
      <c r="AH474" s="25">
        <f>ROUND(IF(AQ474="0",BJ474,0),2)</f>
        <v>0</v>
      </c>
      <c r="AI474" s="11" t="s">
        <v>46</v>
      </c>
      <c r="AJ474" s="25">
        <f>IF(AN474=0,J474,0)</f>
        <v>0</v>
      </c>
      <c r="AK474" s="25">
        <f>IF(AN474=12,J474,0)</f>
        <v>0</v>
      </c>
      <c r="AL474" s="25">
        <f>IF(AN474=21,J474,0)</f>
        <v>0</v>
      </c>
      <c r="AN474" s="25">
        <v>21</v>
      </c>
      <c r="AO474" s="25">
        <f>G474*0</f>
        <v>0</v>
      </c>
      <c r="AP474" s="25">
        <f>G474*(1-0)</f>
        <v>0</v>
      </c>
      <c r="AQ474" s="27" t="s">
        <v>68</v>
      </c>
      <c r="AV474" s="25">
        <f>ROUND(AW474+AX474,2)</f>
        <v>0</v>
      </c>
      <c r="AW474" s="25">
        <f>ROUND(F474*AO474,2)</f>
        <v>0</v>
      </c>
      <c r="AX474" s="25">
        <f>ROUND(F474*AP474,2)</f>
        <v>0</v>
      </c>
      <c r="AY474" s="27" t="s">
        <v>1425</v>
      </c>
      <c r="AZ474" s="27" t="s">
        <v>1426</v>
      </c>
      <c r="BA474" s="11" t="s">
        <v>56</v>
      </c>
      <c r="BC474" s="25">
        <f>AW474+AX474</f>
        <v>0</v>
      </c>
      <c r="BD474" s="25">
        <f>G474/(100-BE474)*100</f>
        <v>0</v>
      </c>
      <c r="BE474" s="25">
        <v>0</v>
      </c>
      <c r="BF474" s="25">
        <f>474</f>
        <v>474</v>
      </c>
      <c r="BH474" s="25">
        <f>F474*AO474</f>
        <v>0</v>
      </c>
      <c r="BI474" s="25">
        <f>F474*AP474</f>
        <v>0</v>
      </c>
      <c r="BJ474" s="25">
        <f>F474*G474</f>
        <v>0</v>
      </c>
      <c r="BK474" s="27" t="s">
        <v>57</v>
      </c>
      <c r="BL474" s="25">
        <v>762</v>
      </c>
      <c r="BW474" s="25">
        <v>21</v>
      </c>
      <c r="BX474" s="5" t="s">
        <v>1432</v>
      </c>
    </row>
    <row r="475" spans="1:76" x14ac:dyDescent="0.25">
      <c r="A475" s="28" t="s">
        <v>46</v>
      </c>
      <c r="B475" s="29" t="s">
        <v>1433</v>
      </c>
      <c r="C475" s="150" t="s">
        <v>1434</v>
      </c>
      <c r="D475" s="151"/>
      <c r="E475" s="30" t="s">
        <v>4</v>
      </c>
      <c r="F475" s="30" t="s">
        <v>4</v>
      </c>
      <c r="G475" s="30" t="s">
        <v>4</v>
      </c>
      <c r="H475" s="1">
        <f>ROUND(SUM(H476:H479),1)</f>
        <v>0</v>
      </c>
      <c r="I475" s="1">
        <f>ROUND(SUM(I476:I479),1)</f>
        <v>0</v>
      </c>
      <c r="J475" s="1">
        <f>ROUND(SUM(J476:J479),1)</f>
        <v>0</v>
      </c>
      <c r="K475" s="31" t="s">
        <v>46</v>
      </c>
      <c r="AI475" s="11" t="s">
        <v>46</v>
      </c>
      <c r="AS475" s="1">
        <f>SUM(AJ476:AJ479)</f>
        <v>0</v>
      </c>
      <c r="AT475" s="1">
        <f>SUM(AK476:AK479)</f>
        <v>0</v>
      </c>
      <c r="AU475" s="1">
        <f>SUM(AL476:AL479)</f>
        <v>0</v>
      </c>
    </row>
    <row r="476" spans="1:76" x14ac:dyDescent="0.25">
      <c r="A476" s="2" t="s">
        <v>1435</v>
      </c>
      <c r="B476" s="3" t="s">
        <v>1436</v>
      </c>
      <c r="C476" s="93" t="s">
        <v>1437</v>
      </c>
      <c r="D476" s="94"/>
      <c r="E476" s="3" t="s">
        <v>131</v>
      </c>
      <c r="F476" s="25">
        <v>1.5</v>
      </c>
      <c r="G476" s="25">
        <v>0</v>
      </c>
      <c r="H476" s="25">
        <f>ROUND(F476*AO476,2)</f>
        <v>0</v>
      </c>
      <c r="I476" s="25">
        <f>ROUND(F476*AP476,2)</f>
        <v>0</v>
      </c>
      <c r="J476" s="25">
        <f>ROUND(F476*G476,1)</f>
        <v>0</v>
      </c>
      <c r="K476" s="26" t="s">
        <v>53</v>
      </c>
      <c r="Z476" s="25">
        <f>ROUND(IF(AQ476="5",BJ476,0),2)</f>
        <v>0</v>
      </c>
      <c r="AB476" s="25">
        <f>ROUND(IF(AQ476="1",BH476,0),2)</f>
        <v>0</v>
      </c>
      <c r="AC476" s="25">
        <f>ROUND(IF(AQ476="1",BI476,0),2)</f>
        <v>0</v>
      </c>
      <c r="AD476" s="25">
        <f>ROUND(IF(AQ476="7",BH476,0),2)</f>
        <v>0</v>
      </c>
      <c r="AE476" s="25">
        <f>ROUND(IF(AQ476="7",BI476,0),2)</f>
        <v>0</v>
      </c>
      <c r="AF476" s="25">
        <f>ROUND(IF(AQ476="2",BH476,0),2)</f>
        <v>0</v>
      </c>
      <c r="AG476" s="25">
        <f>ROUND(IF(AQ476="2",BI476,0),2)</f>
        <v>0</v>
      </c>
      <c r="AH476" s="25">
        <f>ROUND(IF(AQ476="0",BJ476,0),2)</f>
        <v>0</v>
      </c>
      <c r="AI476" s="11" t="s">
        <v>46</v>
      </c>
      <c r="AJ476" s="25">
        <f>IF(AN476=0,J476,0)</f>
        <v>0</v>
      </c>
      <c r="AK476" s="25">
        <f>IF(AN476=12,J476,0)</f>
        <v>0</v>
      </c>
      <c r="AL476" s="25">
        <f>IF(AN476=21,J476,0)</f>
        <v>0</v>
      </c>
      <c r="AN476" s="25">
        <v>21</v>
      </c>
      <c r="AO476" s="25">
        <f>G476*0.038817006</f>
        <v>0</v>
      </c>
      <c r="AP476" s="25">
        <f>G476*(1-0.038817006)</f>
        <v>0</v>
      </c>
      <c r="AQ476" s="27" t="s">
        <v>76</v>
      </c>
      <c r="AV476" s="25">
        <f>ROUND(AW476+AX476,2)</f>
        <v>0</v>
      </c>
      <c r="AW476" s="25">
        <f>ROUND(F476*AO476,2)</f>
        <v>0</v>
      </c>
      <c r="AX476" s="25">
        <f>ROUND(F476*AP476,2)</f>
        <v>0</v>
      </c>
      <c r="AY476" s="27" t="s">
        <v>1438</v>
      </c>
      <c r="AZ476" s="27" t="s">
        <v>1426</v>
      </c>
      <c r="BA476" s="11" t="s">
        <v>56</v>
      </c>
      <c r="BC476" s="25">
        <f>AW476+AX476</f>
        <v>0</v>
      </c>
      <c r="BD476" s="25">
        <f>G476/(100-BE476)*100</f>
        <v>0</v>
      </c>
      <c r="BE476" s="25">
        <v>0</v>
      </c>
      <c r="BF476" s="25">
        <f>476</f>
        <v>476</v>
      </c>
      <c r="BH476" s="25">
        <f>F476*AO476</f>
        <v>0</v>
      </c>
      <c r="BI476" s="25">
        <f>F476*AP476</f>
        <v>0</v>
      </c>
      <c r="BJ476" s="25">
        <f>F476*G476</f>
        <v>0</v>
      </c>
      <c r="BK476" s="27" t="s">
        <v>57</v>
      </c>
      <c r="BL476" s="25">
        <v>764</v>
      </c>
      <c r="BW476" s="25">
        <v>21</v>
      </c>
      <c r="BX476" s="5" t="s">
        <v>1437</v>
      </c>
    </row>
    <row r="477" spans="1:76" ht="25.5" x14ac:dyDescent="0.25">
      <c r="A477" s="2" t="s">
        <v>1439</v>
      </c>
      <c r="B477" s="3" t="s">
        <v>1440</v>
      </c>
      <c r="C477" s="93" t="s">
        <v>1441</v>
      </c>
      <c r="D477" s="94"/>
      <c r="E477" s="3" t="s">
        <v>131</v>
      </c>
      <c r="F477" s="25">
        <v>1.5</v>
      </c>
      <c r="G477" s="25">
        <v>0</v>
      </c>
      <c r="H477" s="25">
        <f>ROUND(F477*AO477,2)</f>
        <v>0</v>
      </c>
      <c r="I477" s="25">
        <f>ROUND(F477*AP477,2)</f>
        <v>0</v>
      </c>
      <c r="J477" s="25">
        <f>ROUND(F477*G477,1)</f>
        <v>0</v>
      </c>
      <c r="K477" s="26" t="s">
        <v>53</v>
      </c>
      <c r="Z477" s="25">
        <f>ROUND(IF(AQ477="5",BJ477,0),2)</f>
        <v>0</v>
      </c>
      <c r="AB477" s="25">
        <f>ROUND(IF(AQ477="1",BH477,0),2)</f>
        <v>0</v>
      </c>
      <c r="AC477" s="25">
        <f>ROUND(IF(AQ477="1",BI477,0),2)</f>
        <v>0</v>
      </c>
      <c r="AD477" s="25">
        <f>ROUND(IF(AQ477="7",BH477,0),2)</f>
        <v>0</v>
      </c>
      <c r="AE477" s="25">
        <f>ROUND(IF(AQ477="7",BI477,0),2)</f>
        <v>0</v>
      </c>
      <c r="AF477" s="25">
        <f>ROUND(IF(AQ477="2",BH477,0),2)</f>
        <v>0</v>
      </c>
      <c r="AG477" s="25">
        <f>ROUND(IF(AQ477="2",BI477,0),2)</f>
        <v>0</v>
      </c>
      <c r="AH477" s="25">
        <f>ROUND(IF(AQ477="0",BJ477,0),2)</f>
        <v>0</v>
      </c>
      <c r="AI477" s="11" t="s">
        <v>46</v>
      </c>
      <c r="AJ477" s="25">
        <f>IF(AN477=0,J477,0)</f>
        <v>0</v>
      </c>
      <c r="AK477" s="25">
        <f>IF(AN477=12,J477,0)</f>
        <v>0</v>
      </c>
      <c r="AL477" s="25">
        <f>IF(AN477=21,J477,0)</f>
        <v>0</v>
      </c>
      <c r="AN477" s="25">
        <v>21</v>
      </c>
      <c r="AO477" s="25">
        <f>G477*1</f>
        <v>0</v>
      </c>
      <c r="AP477" s="25">
        <f>G477*(1-1)</f>
        <v>0</v>
      </c>
      <c r="AQ477" s="27" t="s">
        <v>76</v>
      </c>
      <c r="AV477" s="25">
        <f>ROUND(AW477+AX477,2)</f>
        <v>0</v>
      </c>
      <c r="AW477" s="25">
        <f>ROUND(F477*AO477,2)</f>
        <v>0</v>
      </c>
      <c r="AX477" s="25">
        <f>ROUND(F477*AP477,2)</f>
        <v>0</v>
      </c>
      <c r="AY477" s="27" t="s">
        <v>1438</v>
      </c>
      <c r="AZ477" s="27" t="s">
        <v>1426</v>
      </c>
      <c r="BA477" s="11" t="s">
        <v>56</v>
      </c>
      <c r="BC477" s="25">
        <f>AW477+AX477</f>
        <v>0</v>
      </c>
      <c r="BD477" s="25">
        <f>G477/(100-BE477)*100</f>
        <v>0</v>
      </c>
      <c r="BE477" s="25">
        <v>0</v>
      </c>
      <c r="BF477" s="25">
        <f>477</f>
        <v>477</v>
      </c>
      <c r="BH477" s="25">
        <f>F477*AO477</f>
        <v>0</v>
      </c>
      <c r="BI477" s="25">
        <f>F477*AP477</f>
        <v>0</v>
      </c>
      <c r="BJ477" s="25">
        <f>F477*G477</f>
        <v>0</v>
      </c>
      <c r="BK477" s="27" t="s">
        <v>75</v>
      </c>
      <c r="BL477" s="25">
        <v>764</v>
      </c>
      <c r="BW477" s="25">
        <v>21</v>
      </c>
      <c r="BX477" s="5" t="s">
        <v>1441</v>
      </c>
    </row>
    <row r="478" spans="1:76" x14ac:dyDescent="0.25">
      <c r="A478" s="2" t="s">
        <v>1442</v>
      </c>
      <c r="B478" s="3" t="s">
        <v>1443</v>
      </c>
      <c r="C478" s="93" t="s">
        <v>1444</v>
      </c>
      <c r="D478" s="94"/>
      <c r="E478" s="3" t="s">
        <v>131</v>
      </c>
      <c r="F478" s="25">
        <v>1.5</v>
      </c>
      <c r="G478" s="25">
        <v>0</v>
      </c>
      <c r="H478" s="25">
        <f>ROUND(F478*AO478,2)</f>
        <v>0</v>
      </c>
      <c r="I478" s="25">
        <f>ROUND(F478*AP478,2)</f>
        <v>0</v>
      </c>
      <c r="J478" s="25">
        <f>ROUND(F478*G478,1)</f>
        <v>0</v>
      </c>
      <c r="K478" s="26" t="s">
        <v>53</v>
      </c>
      <c r="Z478" s="25">
        <f>ROUND(IF(AQ478="5",BJ478,0),2)</f>
        <v>0</v>
      </c>
      <c r="AB478" s="25">
        <f>ROUND(IF(AQ478="1",BH478,0),2)</f>
        <v>0</v>
      </c>
      <c r="AC478" s="25">
        <f>ROUND(IF(AQ478="1",BI478,0),2)</f>
        <v>0</v>
      </c>
      <c r="AD478" s="25">
        <f>ROUND(IF(AQ478="7",BH478,0),2)</f>
        <v>0</v>
      </c>
      <c r="AE478" s="25">
        <f>ROUND(IF(AQ478="7",BI478,0),2)</f>
        <v>0</v>
      </c>
      <c r="AF478" s="25">
        <f>ROUND(IF(AQ478="2",BH478,0),2)</f>
        <v>0</v>
      </c>
      <c r="AG478" s="25">
        <f>ROUND(IF(AQ478="2",BI478,0),2)</f>
        <v>0</v>
      </c>
      <c r="AH478" s="25">
        <f>ROUND(IF(AQ478="0",BJ478,0),2)</f>
        <v>0</v>
      </c>
      <c r="AI478" s="11" t="s">
        <v>46</v>
      </c>
      <c r="AJ478" s="25">
        <f>IF(AN478=0,J478,0)</f>
        <v>0</v>
      </c>
      <c r="AK478" s="25">
        <f>IF(AN478=12,J478,0)</f>
        <v>0</v>
      </c>
      <c r="AL478" s="25">
        <f>IF(AN478=21,J478,0)</f>
        <v>0</v>
      </c>
      <c r="AN478" s="25">
        <v>21</v>
      </c>
      <c r="AO478" s="25">
        <f>G478*0</f>
        <v>0</v>
      </c>
      <c r="AP478" s="25">
        <f>G478*(1-0)</f>
        <v>0</v>
      </c>
      <c r="AQ478" s="27" t="s">
        <v>76</v>
      </c>
      <c r="AV478" s="25">
        <f>ROUND(AW478+AX478,2)</f>
        <v>0</v>
      </c>
      <c r="AW478" s="25">
        <f>ROUND(F478*AO478,2)</f>
        <v>0</v>
      </c>
      <c r="AX478" s="25">
        <f>ROUND(F478*AP478,2)</f>
        <v>0</v>
      </c>
      <c r="AY478" s="27" t="s">
        <v>1438</v>
      </c>
      <c r="AZ478" s="27" t="s">
        <v>1426</v>
      </c>
      <c r="BA478" s="11" t="s">
        <v>56</v>
      </c>
      <c r="BC478" s="25">
        <f>AW478+AX478</f>
        <v>0</v>
      </c>
      <c r="BD478" s="25">
        <f>G478/(100-BE478)*100</f>
        <v>0</v>
      </c>
      <c r="BE478" s="25">
        <v>0</v>
      </c>
      <c r="BF478" s="25">
        <f>478</f>
        <v>478</v>
      </c>
      <c r="BH478" s="25">
        <f>F478*AO478</f>
        <v>0</v>
      </c>
      <c r="BI478" s="25">
        <f>F478*AP478</f>
        <v>0</v>
      </c>
      <c r="BJ478" s="25">
        <f>F478*G478</f>
        <v>0</v>
      </c>
      <c r="BK478" s="27" t="s">
        <v>57</v>
      </c>
      <c r="BL478" s="25">
        <v>764</v>
      </c>
      <c r="BW478" s="25">
        <v>21</v>
      </c>
      <c r="BX478" s="5" t="s">
        <v>1444</v>
      </c>
    </row>
    <row r="479" spans="1:76" x14ac:dyDescent="0.25">
      <c r="A479" s="2" t="s">
        <v>1445</v>
      </c>
      <c r="B479" s="3" t="s">
        <v>1446</v>
      </c>
      <c r="C479" s="93" t="s">
        <v>1447</v>
      </c>
      <c r="D479" s="94"/>
      <c r="E479" s="3" t="s">
        <v>71</v>
      </c>
      <c r="F479" s="25">
        <v>4.0000000000000001E-3</v>
      </c>
      <c r="G479" s="25">
        <v>0</v>
      </c>
      <c r="H479" s="25">
        <f>ROUND(F479*AO479,2)</f>
        <v>0</v>
      </c>
      <c r="I479" s="25">
        <f>ROUND(F479*AP479,2)</f>
        <v>0</v>
      </c>
      <c r="J479" s="25">
        <f>ROUND(F479*G479,1)</f>
        <v>0</v>
      </c>
      <c r="K479" s="26" t="s">
        <v>53</v>
      </c>
      <c r="Z479" s="25">
        <f>ROUND(IF(AQ479="5",BJ479,0),2)</f>
        <v>0</v>
      </c>
      <c r="AB479" s="25">
        <f>ROUND(IF(AQ479="1",BH479,0),2)</f>
        <v>0</v>
      </c>
      <c r="AC479" s="25">
        <f>ROUND(IF(AQ479="1",BI479,0),2)</f>
        <v>0</v>
      </c>
      <c r="AD479" s="25">
        <f>ROUND(IF(AQ479="7",BH479,0),2)</f>
        <v>0</v>
      </c>
      <c r="AE479" s="25">
        <f>ROUND(IF(AQ479="7",BI479,0),2)</f>
        <v>0</v>
      </c>
      <c r="AF479" s="25">
        <f>ROUND(IF(AQ479="2",BH479,0),2)</f>
        <v>0</v>
      </c>
      <c r="AG479" s="25">
        <f>ROUND(IF(AQ479="2",BI479,0),2)</f>
        <v>0</v>
      </c>
      <c r="AH479" s="25">
        <f>ROUND(IF(AQ479="0",BJ479,0),2)</f>
        <v>0</v>
      </c>
      <c r="AI479" s="11" t="s">
        <v>46</v>
      </c>
      <c r="AJ479" s="25">
        <f>IF(AN479=0,J479,0)</f>
        <v>0</v>
      </c>
      <c r="AK479" s="25">
        <f>IF(AN479=12,J479,0)</f>
        <v>0</v>
      </c>
      <c r="AL479" s="25">
        <f>IF(AN479=21,J479,0)</f>
        <v>0</v>
      </c>
      <c r="AN479" s="25">
        <v>21</v>
      </c>
      <c r="AO479" s="25">
        <f>G479*0</f>
        <v>0</v>
      </c>
      <c r="AP479" s="25">
        <f>G479*(1-0)</f>
        <v>0</v>
      </c>
      <c r="AQ479" s="27" t="s">
        <v>68</v>
      </c>
      <c r="AV479" s="25">
        <f>ROUND(AW479+AX479,2)</f>
        <v>0</v>
      </c>
      <c r="AW479" s="25">
        <f>ROUND(F479*AO479,2)</f>
        <v>0</v>
      </c>
      <c r="AX479" s="25">
        <f>ROUND(F479*AP479,2)</f>
        <v>0</v>
      </c>
      <c r="AY479" s="27" t="s">
        <v>1438</v>
      </c>
      <c r="AZ479" s="27" t="s">
        <v>1426</v>
      </c>
      <c r="BA479" s="11" t="s">
        <v>56</v>
      </c>
      <c r="BC479" s="25">
        <f>AW479+AX479</f>
        <v>0</v>
      </c>
      <c r="BD479" s="25">
        <f>G479/(100-BE479)*100</f>
        <v>0</v>
      </c>
      <c r="BE479" s="25">
        <v>0</v>
      </c>
      <c r="BF479" s="25">
        <f>479</f>
        <v>479</v>
      </c>
      <c r="BH479" s="25">
        <f>F479*AO479</f>
        <v>0</v>
      </c>
      <c r="BI479" s="25">
        <f>F479*AP479</f>
        <v>0</v>
      </c>
      <c r="BJ479" s="25">
        <f>F479*G479</f>
        <v>0</v>
      </c>
      <c r="BK479" s="27" t="s">
        <v>57</v>
      </c>
      <c r="BL479" s="25">
        <v>764</v>
      </c>
      <c r="BW479" s="25">
        <v>21</v>
      </c>
      <c r="BX479" s="5" t="s">
        <v>1447</v>
      </c>
    </row>
    <row r="480" spans="1:76" x14ac:dyDescent="0.25">
      <c r="A480" s="28" t="s">
        <v>46</v>
      </c>
      <c r="B480" s="29" t="s">
        <v>1448</v>
      </c>
      <c r="C480" s="150" t="s">
        <v>1449</v>
      </c>
      <c r="D480" s="151"/>
      <c r="E480" s="30" t="s">
        <v>4</v>
      </c>
      <c r="F480" s="30" t="s">
        <v>4</v>
      </c>
      <c r="G480" s="30" t="s">
        <v>4</v>
      </c>
      <c r="H480" s="1">
        <f>ROUND(SUM(H481:H510),1)</f>
        <v>0</v>
      </c>
      <c r="I480" s="1">
        <f>ROUND(SUM(I481:I510),1)</f>
        <v>0</v>
      </c>
      <c r="J480" s="1">
        <f>ROUND(SUM(J481:J510),1)</f>
        <v>0</v>
      </c>
      <c r="K480" s="31" t="s">
        <v>46</v>
      </c>
      <c r="AI480" s="11" t="s">
        <v>46</v>
      </c>
      <c r="AS480" s="1">
        <f>SUM(AJ481:AJ510)</f>
        <v>0</v>
      </c>
      <c r="AT480" s="1">
        <f>SUM(AK481:AK510)</f>
        <v>0</v>
      </c>
      <c r="AU480" s="1">
        <f>SUM(AL481:AL510)</f>
        <v>0</v>
      </c>
    </row>
    <row r="481" spans="1:76" ht="25.5" x14ac:dyDescent="0.25">
      <c r="A481" s="2" t="s">
        <v>1450</v>
      </c>
      <c r="B481" s="3" t="s">
        <v>1451</v>
      </c>
      <c r="C481" s="93" t="s">
        <v>1452</v>
      </c>
      <c r="D481" s="94"/>
      <c r="E481" s="3" t="s">
        <v>131</v>
      </c>
      <c r="F481" s="25">
        <v>4.8</v>
      </c>
      <c r="G481" s="25">
        <v>0</v>
      </c>
      <c r="H481" s="25">
        <f t="shared" ref="H481:H510" si="446">ROUND(F481*AO481,2)</f>
        <v>0</v>
      </c>
      <c r="I481" s="25">
        <f t="shared" ref="I481:I510" si="447">ROUND(F481*AP481,2)</f>
        <v>0</v>
      </c>
      <c r="J481" s="25">
        <f t="shared" ref="J481:J510" si="448">ROUND(F481*G481,1)</f>
        <v>0</v>
      </c>
      <c r="K481" s="26" t="s">
        <v>53</v>
      </c>
      <c r="Z481" s="25">
        <f t="shared" ref="Z481:Z510" si="449">ROUND(IF(AQ481="5",BJ481,0),2)</f>
        <v>0</v>
      </c>
      <c r="AB481" s="25">
        <f t="shared" ref="AB481:AB510" si="450">ROUND(IF(AQ481="1",BH481,0),2)</f>
        <v>0</v>
      </c>
      <c r="AC481" s="25">
        <f t="shared" ref="AC481:AC510" si="451">ROUND(IF(AQ481="1",BI481,0),2)</f>
        <v>0</v>
      </c>
      <c r="AD481" s="25">
        <f t="shared" ref="AD481:AD510" si="452">ROUND(IF(AQ481="7",BH481,0),2)</f>
        <v>0</v>
      </c>
      <c r="AE481" s="25">
        <f t="shared" ref="AE481:AE510" si="453">ROUND(IF(AQ481="7",BI481,0),2)</f>
        <v>0</v>
      </c>
      <c r="AF481" s="25">
        <f t="shared" ref="AF481:AF510" si="454">ROUND(IF(AQ481="2",BH481,0),2)</f>
        <v>0</v>
      </c>
      <c r="AG481" s="25">
        <f t="shared" ref="AG481:AG510" si="455">ROUND(IF(AQ481="2",BI481,0),2)</f>
        <v>0</v>
      </c>
      <c r="AH481" s="25">
        <f t="shared" ref="AH481:AH510" si="456">ROUND(IF(AQ481="0",BJ481,0),2)</f>
        <v>0</v>
      </c>
      <c r="AI481" s="11" t="s">
        <v>46</v>
      </c>
      <c r="AJ481" s="25">
        <f t="shared" ref="AJ481:AJ510" si="457">IF(AN481=0,J481,0)</f>
        <v>0</v>
      </c>
      <c r="AK481" s="25">
        <f t="shared" ref="AK481:AK510" si="458">IF(AN481=12,J481,0)</f>
        <v>0</v>
      </c>
      <c r="AL481" s="25">
        <f t="shared" ref="AL481:AL510" si="459">IF(AN481=21,J481,0)</f>
        <v>0</v>
      </c>
      <c r="AN481" s="25">
        <v>21</v>
      </c>
      <c r="AO481" s="25">
        <f>G481*0.407830652</f>
        <v>0</v>
      </c>
      <c r="AP481" s="25">
        <f>G481*(1-0.407830652)</f>
        <v>0</v>
      </c>
      <c r="AQ481" s="27" t="s">
        <v>76</v>
      </c>
      <c r="AV481" s="25">
        <f t="shared" ref="AV481:AV510" si="460">ROUND(AW481+AX481,2)</f>
        <v>0</v>
      </c>
      <c r="AW481" s="25">
        <f t="shared" ref="AW481:AW510" si="461">ROUND(F481*AO481,2)</f>
        <v>0</v>
      </c>
      <c r="AX481" s="25">
        <f t="shared" ref="AX481:AX510" si="462">ROUND(F481*AP481,2)</f>
        <v>0</v>
      </c>
      <c r="AY481" s="27" t="s">
        <v>1453</v>
      </c>
      <c r="AZ481" s="27" t="s">
        <v>1426</v>
      </c>
      <c r="BA481" s="11" t="s">
        <v>56</v>
      </c>
      <c r="BC481" s="25">
        <f t="shared" ref="BC481:BC510" si="463">AW481+AX481</f>
        <v>0</v>
      </c>
      <c r="BD481" s="25">
        <f t="shared" ref="BD481:BD510" si="464">G481/(100-BE481)*100</f>
        <v>0</v>
      </c>
      <c r="BE481" s="25">
        <v>0</v>
      </c>
      <c r="BF481" s="25">
        <f>481</f>
        <v>481</v>
      </c>
      <c r="BH481" s="25">
        <f t="shared" ref="BH481:BH510" si="465">F481*AO481</f>
        <v>0</v>
      </c>
      <c r="BI481" s="25">
        <f t="shared" ref="BI481:BI510" si="466">F481*AP481</f>
        <v>0</v>
      </c>
      <c r="BJ481" s="25">
        <f t="shared" ref="BJ481:BJ510" si="467">F481*G481</f>
        <v>0</v>
      </c>
      <c r="BK481" s="27" t="s">
        <v>57</v>
      </c>
      <c r="BL481" s="25">
        <v>766</v>
      </c>
      <c r="BW481" s="25">
        <v>21</v>
      </c>
      <c r="BX481" s="5" t="s">
        <v>1452</v>
      </c>
    </row>
    <row r="482" spans="1:76" ht="25.5" x14ac:dyDescent="0.25">
      <c r="A482" s="2" t="s">
        <v>1454</v>
      </c>
      <c r="B482" s="3" t="s">
        <v>1455</v>
      </c>
      <c r="C482" s="93" t="s">
        <v>1456</v>
      </c>
      <c r="D482" s="94"/>
      <c r="E482" s="3" t="s">
        <v>131</v>
      </c>
      <c r="F482" s="25">
        <v>1.5</v>
      </c>
      <c r="G482" s="25">
        <v>0</v>
      </c>
      <c r="H482" s="25">
        <f t="shared" si="446"/>
        <v>0</v>
      </c>
      <c r="I482" s="25">
        <f t="shared" si="447"/>
        <v>0</v>
      </c>
      <c r="J482" s="25">
        <f t="shared" si="448"/>
        <v>0</v>
      </c>
      <c r="K482" s="26" t="s">
        <v>53</v>
      </c>
      <c r="Z482" s="25">
        <f t="shared" si="449"/>
        <v>0</v>
      </c>
      <c r="AB482" s="25">
        <f t="shared" si="450"/>
        <v>0</v>
      </c>
      <c r="AC482" s="25">
        <f t="shared" si="451"/>
        <v>0</v>
      </c>
      <c r="AD482" s="25">
        <f t="shared" si="452"/>
        <v>0</v>
      </c>
      <c r="AE482" s="25">
        <f t="shared" si="453"/>
        <v>0</v>
      </c>
      <c r="AF482" s="25">
        <f t="shared" si="454"/>
        <v>0</v>
      </c>
      <c r="AG482" s="25">
        <f t="shared" si="455"/>
        <v>0</v>
      </c>
      <c r="AH482" s="25">
        <f t="shared" si="456"/>
        <v>0</v>
      </c>
      <c r="AI482" s="11" t="s">
        <v>46</v>
      </c>
      <c r="AJ482" s="25">
        <f t="shared" si="457"/>
        <v>0</v>
      </c>
      <c r="AK482" s="25">
        <f t="shared" si="458"/>
        <v>0</v>
      </c>
      <c r="AL482" s="25">
        <f t="shared" si="459"/>
        <v>0</v>
      </c>
      <c r="AN482" s="25">
        <v>21</v>
      </c>
      <c r="AO482" s="25">
        <f>G482*0.367686527</f>
        <v>0</v>
      </c>
      <c r="AP482" s="25">
        <f>G482*(1-0.367686527)</f>
        <v>0</v>
      </c>
      <c r="AQ482" s="27" t="s">
        <v>76</v>
      </c>
      <c r="AV482" s="25">
        <f t="shared" si="460"/>
        <v>0</v>
      </c>
      <c r="AW482" s="25">
        <f t="shared" si="461"/>
        <v>0</v>
      </c>
      <c r="AX482" s="25">
        <f t="shared" si="462"/>
        <v>0</v>
      </c>
      <c r="AY482" s="27" t="s">
        <v>1453</v>
      </c>
      <c r="AZ482" s="27" t="s">
        <v>1426</v>
      </c>
      <c r="BA482" s="11" t="s">
        <v>56</v>
      </c>
      <c r="BC482" s="25">
        <f t="shared" si="463"/>
        <v>0</v>
      </c>
      <c r="BD482" s="25">
        <f t="shared" si="464"/>
        <v>0</v>
      </c>
      <c r="BE482" s="25">
        <v>0</v>
      </c>
      <c r="BF482" s="25">
        <f>482</f>
        <v>482</v>
      </c>
      <c r="BH482" s="25">
        <f t="shared" si="465"/>
        <v>0</v>
      </c>
      <c r="BI482" s="25">
        <f t="shared" si="466"/>
        <v>0</v>
      </c>
      <c r="BJ482" s="25">
        <f t="shared" si="467"/>
        <v>0</v>
      </c>
      <c r="BK482" s="27" t="s">
        <v>57</v>
      </c>
      <c r="BL482" s="25">
        <v>766</v>
      </c>
      <c r="BW482" s="25">
        <v>21</v>
      </c>
      <c r="BX482" s="5" t="s">
        <v>1456</v>
      </c>
    </row>
    <row r="483" spans="1:76" x14ac:dyDescent="0.25">
      <c r="A483" s="2" t="s">
        <v>1457</v>
      </c>
      <c r="B483" s="3" t="s">
        <v>1458</v>
      </c>
      <c r="C483" s="93" t="s">
        <v>1459</v>
      </c>
      <c r="D483" s="94"/>
      <c r="E483" s="3" t="s">
        <v>52</v>
      </c>
      <c r="F483" s="25">
        <v>1</v>
      </c>
      <c r="G483" s="25">
        <v>0</v>
      </c>
      <c r="H483" s="25">
        <f t="shared" si="446"/>
        <v>0</v>
      </c>
      <c r="I483" s="25">
        <f t="shared" si="447"/>
        <v>0</v>
      </c>
      <c r="J483" s="25">
        <f t="shared" si="448"/>
        <v>0</v>
      </c>
      <c r="K483" s="26" t="s">
        <v>53</v>
      </c>
      <c r="Z483" s="25">
        <f t="shared" si="449"/>
        <v>0</v>
      </c>
      <c r="AB483" s="25">
        <f t="shared" si="450"/>
        <v>0</v>
      </c>
      <c r="AC483" s="25">
        <f t="shared" si="451"/>
        <v>0</v>
      </c>
      <c r="AD483" s="25">
        <f t="shared" si="452"/>
        <v>0</v>
      </c>
      <c r="AE483" s="25">
        <f t="shared" si="453"/>
        <v>0</v>
      </c>
      <c r="AF483" s="25">
        <f t="shared" si="454"/>
        <v>0</v>
      </c>
      <c r="AG483" s="25">
        <f t="shared" si="455"/>
        <v>0</v>
      </c>
      <c r="AH483" s="25">
        <f t="shared" si="456"/>
        <v>0</v>
      </c>
      <c r="AI483" s="11" t="s">
        <v>46</v>
      </c>
      <c r="AJ483" s="25">
        <f t="shared" si="457"/>
        <v>0</v>
      </c>
      <c r="AK483" s="25">
        <f t="shared" si="458"/>
        <v>0</v>
      </c>
      <c r="AL483" s="25">
        <f t="shared" si="459"/>
        <v>0</v>
      </c>
      <c r="AN483" s="25">
        <v>21</v>
      </c>
      <c r="AO483" s="25">
        <f>G483*0.008170414</f>
        <v>0</v>
      </c>
      <c r="AP483" s="25">
        <f>G483*(1-0.008170414)</f>
        <v>0</v>
      </c>
      <c r="AQ483" s="27" t="s">
        <v>76</v>
      </c>
      <c r="AV483" s="25">
        <f t="shared" si="460"/>
        <v>0</v>
      </c>
      <c r="AW483" s="25">
        <f t="shared" si="461"/>
        <v>0</v>
      </c>
      <c r="AX483" s="25">
        <f t="shared" si="462"/>
        <v>0</v>
      </c>
      <c r="AY483" s="27" t="s">
        <v>1453</v>
      </c>
      <c r="AZ483" s="27" t="s">
        <v>1426</v>
      </c>
      <c r="BA483" s="11" t="s">
        <v>56</v>
      </c>
      <c r="BC483" s="25">
        <f t="shared" si="463"/>
        <v>0</v>
      </c>
      <c r="BD483" s="25">
        <f t="shared" si="464"/>
        <v>0</v>
      </c>
      <c r="BE483" s="25">
        <v>0</v>
      </c>
      <c r="BF483" s="25">
        <f>483</f>
        <v>483</v>
      </c>
      <c r="BH483" s="25">
        <f t="shared" si="465"/>
        <v>0</v>
      </c>
      <c r="BI483" s="25">
        <f t="shared" si="466"/>
        <v>0</v>
      </c>
      <c r="BJ483" s="25">
        <f t="shared" si="467"/>
        <v>0</v>
      </c>
      <c r="BK483" s="27" t="s">
        <v>57</v>
      </c>
      <c r="BL483" s="25">
        <v>766</v>
      </c>
      <c r="BW483" s="25">
        <v>21</v>
      </c>
      <c r="BX483" s="5" t="s">
        <v>1459</v>
      </c>
    </row>
    <row r="484" spans="1:76" x14ac:dyDescent="0.25">
      <c r="A484" s="2" t="s">
        <v>1460</v>
      </c>
      <c r="B484" s="3" t="s">
        <v>1461</v>
      </c>
      <c r="C484" s="93" t="s">
        <v>1462</v>
      </c>
      <c r="D484" s="94"/>
      <c r="E484" s="3" t="s">
        <v>52</v>
      </c>
      <c r="F484" s="25">
        <v>1</v>
      </c>
      <c r="G484" s="25">
        <v>0</v>
      </c>
      <c r="H484" s="25">
        <f t="shared" si="446"/>
        <v>0</v>
      </c>
      <c r="I484" s="25">
        <f t="shared" si="447"/>
        <v>0</v>
      </c>
      <c r="J484" s="25">
        <f t="shared" si="448"/>
        <v>0</v>
      </c>
      <c r="K484" s="26" t="s">
        <v>53</v>
      </c>
      <c r="Z484" s="25">
        <f t="shared" si="449"/>
        <v>0</v>
      </c>
      <c r="AB484" s="25">
        <f t="shared" si="450"/>
        <v>0</v>
      </c>
      <c r="AC484" s="25">
        <f t="shared" si="451"/>
        <v>0</v>
      </c>
      <c r="AD484" s="25">
        <f t="shared" si="452"/>
        <v>0</v>
      </c>
      <c r="AE484" s="25">
        <f t="shared" si="453"/>
        <v>0</v>
      </c>
      <c r="AF484" s="25">
        <f t="shared" si="454"/>
        <v>0</v>
      </c>
      <c r="AG484" s="25">
        <f t="shared" si="455"/>
        <v>0</v>
      </c>
      <c r="AH484" s="25">
        <f t="shared" si="456"/>
        <v>0</v>
      </c>
      <c r="AI484" s="11" t="s">
        <v>46</v>
      </c>
      <c r="AJ484" s="25">
        <f t="shared" si="457"/>
        <v>0</v>
      </c>
      <c r="AK484" s="25">
        <f t="shared" si="458"/>
        <v>0</v>
      </c>
      <c r="AL484" s="25">
        <f t="shared" si="459"/>
        <v>0</v>
      </c>
      <c r="AN484" s="25">
        <v>21</v>
      </c>
      <c r="AO484" s="25">
        <f>G484*1</f>
        <v>0</v>
      </c>
      <c r="AP484" s="25">
        <f>G484*(1-1)</f>
        <v>0</v>
      </c>
      <c r="AQ484" s="27" t="s">
        <v>76</v>
      </c>
      <c r="AV484" s="25">
        <f t="shared" si="460"/>
        <v>0</v>
      </c>
      <c r="AW484" s="25">
        <f t="shared" si="461"/>
        <v>0</v>
      </c>
      <c r="AX484" s="25">
        <f t="shared" si="462"/>
        <v>0</v>
      </c>
      <c r="AY484" s="27" t="s">
        <v>1453</v>
      </c>
      <c r="AZ484" s="27" t="s">
        <v>1426</v>
      </c>
      <c r="BA484" s="11" t="s">
        <v>56</v>
      </c>
      <c r="BC484" s="25">
        <f t="shared" si="463"/>
        <v>0</v>
      </c>
      <c r="BD484" s="25">
        <f t="shared" si="464"/>
        <v>0</v>
      </c>
      <c r="BE484" s="25">
        <v>0</v>
      </c>
      <c r="BF484" s="25">
        <f>484</f>
        <v>484</v>
      </c>
      <c r="BH484" s="25">
        <f t="shared" si="465"/>
        <v>0</v>
      </c>
      <c r="BI484" s="25">
        <f t="shared" si="466"/>
        <v>0</v>
      </c>
      <c r="BJ484" s="25">
        <f t="shared" si="467"/>
        <v>0</v>
      </c>
      <c r="BK484" s="27" t="s">
        <v>75</v>
      </c>
      <c r="BL484" s="25">
        <v>766</v>
      </c>
      <c r="BW484" s="25">
        <v>21</v>
      </c>
      <c r="BX484" s="5" t="s">
        <v>1462</v>
      </c>
    </row>
    <row r="485" spans="1:76" x14ac:dyDescent="0.25">
      <c r="A485" s="2" t="s">
        <v>1463</v>
      </c>
      <c r="B485" s="3" t="s">
        <v>1464</v>
      </c>
      <c r="C485" s="93" t="s">
        <v>1465</v>
      </c>
      <c r="D485" s="94"/>
      <c r="E485" s="3" t="s">
        <v>52</v>
      </c>
      <c r="F485" s="25">
        <v>1</v>
      </c>
      <c r="G485" s="25">
        <v>0</v>
      </c>
      <c r="H485" s="25">
        <f t="shared" si="446"/>
        <v>0</v>
      </c>
      <c r="I485" s="25">
        <f t="shared" si="447"/>
        <v>0</v>
      </c>
      <c r="J485" s="25">
        <f t="shared" si="448"/>
        <v>0</v>
      </c>
      <c r="K485" s="26" t="s">
        <v>53</v>
      </c>
      <c r="Z485" s="25">
        <f t="shared" si="449"/>
        <v>0</v>
      </c>
      <c r="AB485" s="25">
        <f t="shared" si="450"/>
        <v>0</v>
      </c>
      <c r="AC485" s="25">
        <f t="shared" si="451"/>
        <v>0</v>
      </c>
      <c r="AD485" s="25">
        <f t="shared" si="452"/>
        <v>0</v>
      </c>
      <c r="AE485" s="25">
        <f t="shared" si="453"/>
        <v>0</v>
      </c>
      <c r="AF485" s="25">
        <f t="shared" si="454"/>
        <v>0</v>
      </c>
      <c r="AG485" s="25">
        <f t="shared" si="455"/>
        <v>0</v>
      </c>
      <c r="AH485" s="25">
        <f t="shared" si="456"/>
        <v>0</v>
      </c>
      <c r="AI485" s="11" t="s">
        <v>46</v>
      </c>
      <c r="AJ485" s="25">
        <f t="shared" si="457"/>
        <v>0</v>
      </c>
      <c r="AK485" s="25">
        <f t="shared" si="458"/>
        <v>0</v>
      </c>
      <c r="AL485" s="25">
        <f t="shared" si="459"/>
        <v>0</v>
      </c>
      <c r="AN485" s="25">
        <v>21</v>
      </c>
      <c r="AO485" s="25">
        <f>G485*0.071544674</f>
        <v>0</v>
      </c>
      <c r="AP485" s="25">
        <f>G485*(1-0.071544674)</f>
        <v>0</v>
      </c>
      <c r="AQ485" s="27" t="s">
        <v>76</v>
      </c>
      <c r="AV485" s="25">
        <f t="shared" si="460"/>
        <v>0</v>
      </c>
      <c r="AW485" s="25">
        <f t="shared" si="461"/>
        <v>0</v>
      </c>
      <c r="AX485" s="25">
        <f t="shared" si="462"/>
        <v>0</v>
      </c>
      <c r="AY485" s="27" t="s">
        <v>1453</v>
      </c>
      <c r="AZ485" s="27" t="s">
        <v>1426</v>
      </c>
      <c r="BA485" s="11" t="s">
        <v>56</v>
      </c>
      <c r="BC485" s="25">
        <f t="shared" si="463"/>
        <v>0</v>
      </c>
      <c r="BD485" s="25">
        <f t="shared" si="464"/>
        <v>0</v>
      </c>
      <c r="BE485" s="25">
        <v>0</v>
      </c>
      <c r="BF485" s="25">
        <f>485</f>
        <v>485</v>
      </c>
      <c r="BH485" s="25">
        <f t="shared" si="465"/>
        <v>0</v>
      </c>
      <c r="BI485" s="25">
        <f t="shared" si="466"/>
        <v>0</v>
      </c>
      <c r="BJ485" s="25">
        <f t="shared" si="467"/>
        <v>0</v>
      </c>
      <c r="BK485" s="27" t="s">
        <v>57</v>
      </c>
      <c r="BL485" s="25">
        <v>766</v>
      </c>
      <c r="BW485" s="25">
        <v>21</v>
      </c>
      <c r="BX485" s="5" t="s">
        <v>1465</v>
      </c>
    </row>
    <row r="486" spans="1:76" x14ac:dyDescent="0.25">
      <c r="A486" s="2" t="s">
        <v>1466</v>
      </c>
      <c r="B486" s="3" t="s">
        <v>1467</v>
      </c>
      <c r="C486" s="93" t="s">
        <v>1468</v>
      </c>
      <c r="D486" s="94"/>
      <c r="E486" s="3" t="s">
        <v>52</v>
      </c>
      <c r="F486" s="25">
        <v>1</v>
      </c>
      <c r="G486" s="25">
        <v>0</v>
      </c>
      <c r="H486" s="25">
        <f t="shared" si="446"/>
        <v>0</v>
      </c>
      <c r="I486" s="25">
        <f t="shared" si="447"/>
        <v>0</v>
      </c>
      <c r="J486" s="25">
        <f t="shared" si="448"/>
        <v>0</v>
      </c>
      <c r="K486" s="26" t="s">
        <v>53</v>
      </c>
      <c r="Z486" s="25">
        <f t="shared" si="449"/>
        <v>0</v>
      </c>
      <c r="AB486" s="25">
        <f t="shared" si="450"/>
        <v>0</v>
      </c>
      <c r="AC486" s="25">
        <f t="shared" si="451"/>
        <v>0</v>
      </c>
      <c r="AD486" s="25">
        <f t="shared" si="452"/>
        <v>0</v>
      </c>
      <c r="AE486" s="25">
        <f t="shared" si="453"/>
        <v>0</v>
      </c>
      <c r="AF486" s="25">
        <f t="shared" si="454"/>
        <v>0</v>
      </c>
      <c r="AG486" s="25">
        <f t="shared" si="455"/>
        <v>0</v>
      </c>
      <c r="AH486" s="25">
        <f t="shared" si="456"/>
        <v>0</v>
      </c>
      <c r="AI486" s="11" t="s">
        <v>46</v>
      </c>
      <c r="AJ486" s="25">
        <f t="shared" si="457"/>
        <v>0</v>
      </c>
      <c r="AK486" s="25">
        <f t="shared" si="458"/>
        <v>0</v>
      </c>
      <c r="AL486" s="25">
        <f t="shared" si="459"/>
        <v>0</v>
      </c>
      <c r="AN486" s="25">
        <v>21</v>
      </c>
      <c r="AO486" s="25">
        <f>G486*1</f>
        <v>0</v>
      </c>
      <c r="AP486" s="25">
        <f>G486*(1-1)</f>
        <v>0</v>
      </c>
      <c r="AQ486" s="27" t="s">
        <v>76</v>
      </c>
      <c r="AV486" s="25">
        <f t="shared" si="460"/>
        <v>0</v>
      </c>
      <c r="AW486" s="25">
        <f t="shared" si="461"/>
        <v>0</v>
      </c>
      <c r="AX486" s="25">
        <f t="shared" si="462"/>
        <v>0</v>
      </c>
      <c r="AY486" s="27" t="s">
        <v>1453</v>
      </c>
      <c r="AZ486" s="27" t="s">
        <v>1426</v>
      </c>
      <c r="BA486" s="11" t="s">
        <v>56</v>
      </c>
      <c r="BC486" s="25">
        <f t="shared" si="463"/>
        <v>0</v>
      </c>
      <c r="BD486" s="25">
        <f t="shared" si="464"/>
        <v>0</v>
      </c>
      <c r="BE486" s="25">
        <v>0</v>
      </c>
      <c r="BF486" s="25">
        <f>486</f>
        <v>486</v>
      </c>
      <c r="BH486" s="25">
        <f t="shared" si="465"/>
        <v>0</v>
      </c>
      <c r="BI486" s="25">
        <f t="shared" si="466"/>
        <v>0</v>
      </c>
      <c r="BJ486" s="25">
        <f t="shared" si="467"/>
        <v>0</v>
      </c>
      <c r="BK486" s="27" t="s">
        <v>75</v>
      </c>
      <c r="BL486" s="25">
        <v>766</v>
      </c>
      <c r="BW486" s="25">
        <v>21</v>
      </c>
      <c r="BX486" s="5" t="s">
        <v>1468</v>
      </c>
    </row>
    <row r="487" spans="1:76" ht="25.5" x14ac:dyDescent="0.25">
      <c r="A487" s="2" t="s">
        <v>1469</v>
      </c>
      <c r="B487" s="3" t="s">
        <v>1470</v>
      </c>
      <c r="C487" s="93" t="s">
        <v>1471</v>
      </c>
      <c r="D487" s="94"/>
      <c r="E487" s="3" t="s">
        <v>52</v>
      </c>
      <c r="F487" s="25">
        <v>1</v>
      </c>
      <c r="G487" s="25">
        <v>0</v>
      </c>
      <c r="H487" s="25">
        <f t="shared" si="446"/>
        <v>0</v>
      </c>
      <c r="I487" s="25">
        <f t="shared" si="447"/>
        <v>0</v>
      </c>
      <c r="J487" s="25">
        <f t="shared" si="448"/>
        <v>0</v>
      </c>
      <c r="K487" s="26" t="s">
        <v>53</v>
      </c>
      <c r="Z487" s="25">
        <f t="shared" si="449"/>
        <v>0</v>
      </c>
      <c r="AB487" s="25">
        <f t="shared" si="450"/>
        <v>0</v>
      </c>
      <c r="AC487" s="25">
        <f t="shared" si="451"/>
        <v>0</v>
      </c>
      <c r="AD487" s="25">
        <f t="shared" si="452"/>
        <v>0</v>
      </c>
      <c r="AE487" s="25">
        <f t="shared" si="453"/>
        <v>0</v>
      </c>
      <c r="AF487" s="25">
        <f t="shared" si="454"/>
        <v>0</v>
      </c>
      <c r="AG487" s="25">
        <f t="shared" si="455"/>
        <v>0</v>
      </c>
      <c r="AH487" s="25">
        <f t="shared" si="456"/>
        <v>0</v>
      </c>
      <c r="AI487" s="11" t="s">
        <v>46</v>
      </c>
      <c r="AJ487" s="25">
        <f t="shared" si="457"/>
        <v>0</v>
      </c>
      <c r="AK487" s="25">
        <f t="shared" si="458"/>
        <v>0</v>
      </c>
      <c r="AL487" s="25">
        <f t="shared" si="459"/>
        <v>0</v>
      </c>
      <c r="AN487" s="25">
        <v>21</v>
      </c>
      <c r="AO487" s="25">
        <f>G487*0.097772601</f>
        <v>0</v>
      </c>
      <c r="AP487" s="25">
        <f>G487*(1-0.097772601)</f>
        <v>0</v>
      </c>
      <c r="AQ487" s="27" t="s">
        <v>76</v>
      </c>
      <c r="AV487" s="25">
        <f t="shared" si="460"/>
        <v>0</v>
      </c>
      <c r="AW487" s="25">
        <f t="shared" si="461"/>
        <v>0</v>
      </c>
      <c r="AX487" s="25">
        <f t="shared" si="462"/>
        <v>0</v>
      </c>
      <c r="AY487" s="27" t="s">
        <v>1453</v>
      </c>
      <c r="AZ487" s="27" t="s">
        <v>1426</v>
      </c>
      <c r="BA487" s="11" t="s">
        <v>56</v>
      </c>
      <c r="BC487" s="25">
        <f t="shared" si="463"/>
        <v>0</v>
      </c>
      <c r="BD487" s="25">
        <f t="shared" si="464"/>
        <v>0</v>
      </c>
      <c r="BE487" s="25">
        <v>0</v>
      </c>
      <c r="BF487" s="25">
        <f>487</f>
        <v>487</v>
      </c>
      <c r="BH487" s="25">
        <f t="shared" si="465"/>
        <v>0</v>
      </c>
      <c r="BI487" s="25">
        <f t="shared" si="466"/>
        <v>0</v>
      </c>
      <c r="BJ487" s="25">
        <f t="shared" si="467"/>
        <v>0</v>
      </c>
      <c r="BK487" s="27" t="s">
        <v>57</v>
      </c>
      <c r="BL487" s="25">
        <v>766</v>
      </c>
      <c r="BW487" s="25">
        <v>21</v>
      </c>
      <c r="BX487" s="5" t="s">
        <v>1471</v>
      </c>
    </row>
    <row r="488" spans="1:76" x14ac:dyDescent="0.25">
      <c r="A488" s="2" t="s">
        <v>1472</v>
      </c>
      <c r="B488" s="3" t="s">
        <v>1473</v>
      </c>
      <c r="C488" s="93" t="s">
        <v>1474</v>
      </c>
      <c r="D488" s="94"/>
      <c r="E488" s="3" t="s">
        <v>52</v>
      </c>
      <c r="F488" s="25">
        <v>20</v>
      </c>
      <c r="G488" s="25">
        <v>0</v>
      </c>
      <c r="H488" s="25">
        <f t="shared" si="446"/>
        <v>0</v>
      </c>
      <c r="I488" s="25">
        <f t="shared" si="447"/>
        <v>0</v>
      </c>
      <c r="J488" s="25">
        <f t="shared" si="448"/>
        <v>0</v>
      </c>
      <c r="K488" s="26" t="s">
        <v>53</v>
      </c>
      <c r="Z488" s="25">
        <f t="shared" si="449"/>
        <v>0</v>
      </c>
      <c r="AB488" s="25">
        <f t="shared" si="450"/>
        <v>0</v>
      </c>
      <c r="AC488" s="25">
        <f t="shared" si="451"/>
        <v>0</v>
      </c>
      <c r="AD488" s="25">
        <f t="shared" si="452"/>
        <v>0</v>
      </c>
      <c r="AE488" s="25">
        <f t="shared" si="453"/>
        <v>0</v>
      </c>
      <c r="AF488" s="25">
        <f t="shared" si="454"/>
        <v>0</v>
      </c>
      <c r="AG488" s="25">
        <f t="shared" si="455"/>
        <v>0</v>
      </c>
      <c r="AH488" s="25">
        <f t="shared" si="456"/>
        <v>0</v>
      </c>
      <c r="AI488" s="11" t="s">
        <v>46</v>
      </c>
      <c r="AJ488" s="25">
        <f t="shared" si="457"/>
        <v>0</v>
      </c>
      <c r="AK488" s="25">
        <f t="shared" si="458"/>
        <v>0</v>
      </c>
      <c r="AL488" s="25">
        <f t="shared" si="459"/>
        <v>0</v>
      </c>
      <c r="AN488" s="25">
        <v>21</v>
      </c>
      <c r="AO488" s="25">
        <f>G488*0</f>
        <v>0</v>
      </c>
      <c r="AP488" s="25">
        <f>G488*(1-0)</f>
        <v>0</v>
      </c>
      <c r="AQ488" s="27" t="s">
        <v>76</v>
      </c>
      <c r="AV488" s="25">
        <f t="shared" si="460"/>
        <v>0</v>
      </c>
      <c r="AW488" s="25">
        <f t="shared" si="461"/>
        <v>0</v>
      </c>
      <c r="AX488" s="25">
        <f t="shared" si="462"/>
        <v>0</v>
      </c>
      <c r="AY488" s="27" t="s">
        <v>1453</v>
      </c>
      <c r="AZ488" s="27" t="s">
        <v>1426</v>
      </c>
      <c r="BA488" s="11" t="s">
        <v>56</v>
      </c>
      <c r="BC488" s="25">
        <f t="shared" si="463"/>
        <v>0</v>
      </c>
      <c r="BD488" s="25">
        <f t="shared" si="464"/>
        <v>0</v>
      </c>
      <c r="BE488" s="25">
        <v>0</v>
      </c>
      <c r="BF488" s="25">
        <f>488</f>
        <v>488</v>
      </c>
      <c r="BH488" s="25">
        <f t="shared" si="465"/>
        <v>0</v>
      </c>
      <c r="BI488" s="25">
        <f t="shared" si="466"/>
        <v>0</v>
      </c>
      <c r="BJ488" s="25">
        <f t="shared" si="467"/>
        <v>0</v>
      </c>
      <c r="BK488" s="27" t="s">
        <v>57</v>
      </c>
      <c r="BL488" s="25">
        <v>766</v>
      </c>
      <c r="BW488" s="25">
        <v>21</v>
      </c>
      <c r="BX488" s="5" t="s">
        <v>1474</v>
      </c>
    </row>
    <row r="489" spans="1:76" ht="25.5" x14ac:dyDescent="0.25">
      <c r="A489" s="2" t="s">
        <v>1475</v>
      </c>
      <c r="B489" s="3" t="s">
        <v>1476</v>
      </c>
      <c r="C489" s="93" t="s">
        <v>1477</v>
      </c>
      <c r="D489" s="94"/>
      <c r="E489" s="3" t="s">
        <v>52</v>
      </c>
      <c r="F489" s="25">
        <v>8</v>
      </c>
      <c r="G489" s="25">
        <v>0</v>
      </c>
      <c r="H489" s="25">
        <f t="shared" si="446"/>
        <v>0</v>
      </c>
      <c r="I489" s="25">
        <f t="shared" si="447"/>
        <v>0</v>
      </c>
      <c r="J489" s="25">
        <f t="shared" si="448"/>
        <v>0</v>
      </c>
      <c r="K489" s="26" t="s">
        <v>53</v>
      </c>
      <c r="Z489" s="25">
        <f t="shared" si="449"/>
        <v>0</v>
      </c>
      <c r="AB489" s="25">
        <f t="shared" si="450"/>
        <v>0</v>
      </c>
      <c r="AC489" s="25">
        <f t="shared" si="451"/>
        <v>0</v>
      </c>
      <c r="AD489" s="25">
        <f t="shared" si="452"/>
        <v>0</v>
      </c>
      <c r="AE489" s="25">
        <f t="shared" si="453"/>
        <v>0</v>
      </c>
      <c r="AF489" s="25">
        <f t="shared" si="454"/>
        <v>0</v>
      </c>
      <c r="AG489" s="25">
        <f t="shared" si="455"/>
        <v>0</v>
      </c>
      <c r="AH489" s="25">
        <f t="shared" si="456"/>
        <v>0</v>
      </c>
      <c r="AI489" s="11" t="s">
        <v>46</v>
      </c>
      <c r="AJ489" s="25">
        <f t="shared" si="457"/>
        <v>0</v>
      </c>
      <c r="AK489" s="25">
        <f t="shared" si="458"/>
        <v>0</v>
      </c>
      <c r="AL489" s="25">
        <f t="shared" si="459"/>
        <v>0</v>
      </c>
      <c r="AN489" s="25">
        <v>21</v>
      </c>
      <c r="AO489" s="25">
        <f t="shared" ref="AO489:AO494" si="468">G489*1</f>
        <v>0</v>
      </c>
      <c r="AP489" s="25">
        <f t="shared" ref="AP489:AP494" si="469">G489*(1-1)</f>
        <v>0</v>
      </c>
      <c r="AQ489" s="27" t="s">
        <v>76</v>
      </c>
      <c r="AV489" s="25">
        <f t="shared" si="460"/>
        <v>0</v>
      </c>
      <c r="AW489" s="25">
        <f t="shared" si="461"/>
        <v>0</v>
      </c>
      <c r="AX489" s="25">
        <f t="shared" si="462"/>
        <v>0</v>
      </c>
      <c r="AY489" s="27" t="s">
        <v>1453</v>
      </c>
      <c r="AZ489" s="27" t="s">
        <v>1426</v>
      </c>
      <c r="BA489" s="11" t="s">
        <v>56</v>
      </c>
      <c r="BC489" s="25">
        <f t="shared" si="463"/>
        <v>0</v>
      </c>
      <c r="BD489" s="25">
        <f t="shared" si="464"/>
        <v>0</v>
      </c>
      <c r="BE489" s="25">
        <v>0</v>
      </c>
      <c r="BF489" s="25">
        <f>489</f>
        <v>489</v>
      </c>
      <c r="BH489" s="25">
        <f t="shared" si="465"/>
        <v>0</v>
      </c>
      <c r="BI489" s="25">
        <f t="shared" si="466"/>
        <v>0</v>
      </c>
      <c r="BJ489" s="25">
        <f t="shared" si="467"/>
        <v>0</v>
      </c>
      <c r="BK489" s="27" t="s">
        <v>75</v>
      </c>
      <c r="BL489" s="25">
        <v>766</v>
      </c>
      <c r="BW489" s="25">
        <v>21</v>
      </c>
      <c r="BX489" s="5" t="s">
        <v>1477</v>
      </c>
    </row>
    <row r="490" spans="1:76" ht="25.5" x14ac:dyDescent="0.25">
      <c r="A490" s="2" t="s">
        <v>1478</v>
      </c>
      <c r="B490" s="3" t="s">
        <v>1479</v>
      </c>
      <c r="C490" s="93" t="s">
        <v>1480</v>
      </c>
      <c r="D490" s="94"/>
      <c r="E490" s="3" t="s">
        <v>52</v>
      </c>
      <c r="F490" s="25">
        <v>1</v>
      </c>
      <c r="G490" s="25">
        <v>0</v>
      </c>
      <c r="H490" s="25">
        <f t="shared" si="446"/>
        <v>0</v>
      </c>
      <c r="I490" s="25">
        <f t="shared" si="447"/>
        <v>0</v>
      </c>
      <c r="J490" s="25">
        <f t="shared" si="448"/>
        <v>0</v>
      </c>
      <c r="K490" s="26" t="s">
        <v>53</v>
      </c>
      <c r="Z490" s="25">
        <f t="shared" si="449"/>
        <v>0</v>
      </c>
      <c r="AB490" s="25">
        <f t="shared" si="450"/>
        <v>0</v>
      </c>
      <c r="AC490" s="25">
        <f t="shared" si="451"/>
        <v>0</v>
      </c>
      <c r="AD490" s="25">
        <f t="shared" si="452"/>
        <v>0</v>
      </c>
      <c r="AE490" s="25">
        <f t="shared" si="453"/>
        <v>0</v>
      </c>
      <c r="AF490" s="25">
        <f t="shared" si="454"/>
        <v>0</v>
      </c>
      <c r="AG490" s="25">
        <f t="shared" si="455"/>
        <v>0</v>
      </c>
      <c r="AH490" s="25">
        <f t="shared" si="456"/>
        <v>0</v>
      </c>
      <c r="AI490" s="11" t="s">
        <v>46</v>
      </c>
      <c r="AJ490" s="25">
        <f t="shared" si="457"/>
        <v>0</v>
      </c>
      <c r="AK490" s="25">
        <f t="shared" si="458"/>
        <v>0</v>
      </c>
      <c r="AL490" s="25">
        <f t="shared" si="459"/>
        <v>0</v>
      </c>
      <c r="AN490" s="25">
        <v>21</v>
      </c>
      <c r="AO490" s="25">
        <f t="shared" si="468"/>
        <v>0</v>
      </c>
      <c r="AP490" s="25">
        <f t="shared" si="469"/>
        <v>0</v>
      </c>
      <c r="AQ490" s="27" t="s">
        <v>76</v>
      </c>
      <c r="AV490" s="25">
        <f t="shared" si="460"/>
        <v>0</v>
      </c>
      <c r="AW490" s="25">
        <f t="shared" si="461"/>
        <v>0</v>
      </c>
      <c r="AX490" s="25">
        <f t="shared" si="462"/>
        <v>0</v>
      </c>
      <c r="AY490" s="27" t="s">
        <v>1453</v>
      </c>
      <c r="AZ490" s="27" t="s">
        <v>1426</v>
      </c>
      <c r="BA490" s="11" t="s">
        <v>56</v>
      </c>
      <c r="BC490" s="25">
        <f t="shared" si="463"/>
        <v>0</v>
      </c>
      <c r="BD490" s="25">
        <f t="shared" si="464"/>
        <v>0</v>
      </c>
      <c r="BE490" s="25">
        <v>0</v>
      </c>
      <c r="BF490" s="25">
        <f>490</f>
        <v>490</v>
      </c>
      <c r="BH490" s="25">
        <f t="shared" si="465"/>
        <v>0</v>
      </c>
      <c r="BI490" s="25">
        <f t="shared" si="466"/>
        <v>0</v>
      </c>
      <c r="BJ490" s="25">
        <f t="shared" si="467"/>
        <v>0</v>
      </c>
      <c r="BK490" s="27" t="s">
        <v>75</v>
      </c>
      <c r="BL490" s="25">
        <v>766</v>
      </c>
      <c r="BW490" s="25">
        <v>21</v>
      </c>
      <c r="BX490" s="5" t="s">
        <v>1480</v>
      </c>
    </row>
    <row r="491" spans="1:76" ht="25.5" x14ac:dyDescent="0.25">
      <c r="A491" s="2" t="s">
        <v>1481</v>
      </c>
      <c r="B491" s="3" t="s">
        <v>1482</v>
      </c>
      <c r="C491" s="93" t="s">
        <v>1483</v>
      </c>
      <c r="D491" s="94"/>
      <c r="E491" s="3" t="s">
        <v>52</v>
      </c>
      <c r="F491" s="25">
        <v>1</v>
      </c>
      <c r="G491" s="25">
        <v>0</v>
      </c>
      <c r="H491" s="25">
        <f t="shared" si="446"/>
        <v>0</v>
      </c>
      <c r="I491" s="25">
        <f t="shared" si="447"/>
        <v>0</v>
      </c>
      <c r="J491" s="25">
        <f t="shared" si="448"/>
        <v>0</v>
      </c>
      <c r="K491" s="26" t="s">
        <v>53</v>
      </c>
      <c r="Z491" s="25">
        <f t="shared" si="449"/>
        <v>0</v>
      </c>
      <c r="AB491" s="25">
        <f t="shared" si="450"/>
        <v>0</v>
      </c>
      <c r="AC491" s="25">
        <f t="shared" si="451"/>
        <v>0</v>
      </c>
      <c r="AD491" s="25">
        <f t="shared" si="452"/>
        <v>0</v>
      </c>
      <c r="AE491" s="25">
        <f t="shared" si="453"/>
        <v>0</v>
      </c>
      <c r="AF491" s="25">
        <f t="shared" si="454"/>
        <v>0</v>
      </c>
      <c r="AG491" s="25">
        <f t="shared" si="455"/>
        <v>0</v>
      </c>
      <c r="AH491" s="25">
        <f t="shared" si="456"/>
        <v>0</v>
      </c>
      <c r="AI491" s="11" t="s">
        <v>46</v>
      </c>
      <c r="AJ491" s="25">
        <f t="shared" si="457"/>
        <v>0</v>
      </c>
      <c r="AK491" s="25">
        <f t="shared" si="458"/>
        <v>0</v>
      </c>
      <c r="AL491" s="25">
        <f t="shared" si="459"/>
        <v>0</v>
      </c>
      <c r="AN491" s="25">
        <v>21</v>
      </c>
      <c r="AO491" s="25">
        <f t="shared" si="468"/>
        <v>0</v>
      </c>
      <c r="AP491" s="25">
        <f t="shared" si="469"/>
        <v>0</v>
      </c>
      <c r="AQ491" s="27" t="s">
        <v>76</v>
      </c>
      <c r="AV491" s="25">
        <f t="shared" si="460"/>
        <v>0</v>
      </c>
      <c r="AW491" s="25">
        <f t="shared" si="461"/>
        <v>0</v>
      </c>
      <c r="AX491" s="25">
        <f t="shared" si="462"/>
        <v>0</v>
      </c>
      <c r="AY491" s="27" t="s">
        <v>1453</v>
      </c>
      <c r="AZ491" s="27" t="s">
        <v>1426</v>
      </c>
      <c r="BA491" s="11" t="s">
        <v>56</v>
      </c>
      <c r="BC491" s="25">
        <f t="shared" si="463"/>
        <v>0</v>
      </c>
      <c r="BD491" s="25">
        <f t="shared" si="464"/>
        <v>0</v>
      </c>
      <c r="BE491" s="25">
        <v>0</v>
      </c>
      <c r="BF491" s="25">
        <f>491</f>
        <v>491</v>
      </c>
      <c r="BH491" s="25">
        <f t="shared" si="465"/>
        <v>0</v>
      </c>
      <c r="BI491" s="25">
        <f t="shared" si="466"/>
        <v>0</v>
      </c>
      <c r="BJ491" s="25">
        <f t="shared" si="467"/>
        <v>0</v>
      </c>
      <c r="BK491" s="27" t="s">
        <v>75</v>
      </c>
      <c r="BL491" s="25">
        <v>766</v>
      </c>
      <c r="BW491" s="25">
        <v>21</v>
      </c>
      <c r="BX491" s="5" t="s">
        <v>1483</v>
      </c>
    </row>
    <row r="492" spans="1:76" ht="25.5" x14ac:dyDescent="0.25">
      <c r="A492" s="2" t="s">
        <v>1484</v>
      </c>
      <c r="B492" s="3" t="s">
        <v>1485</v>
      </c>
      <c r="C492" s="93" t="s">
        <v>1486</v>
      </c>
      <c r="D492" s="94"/>
      <c r="E492" s="3" t="s">
        <v>52</v>
      </c>
      <c r="F492" s="25">
        <v>1</v>
      </c>
      <c r="G492" s="25">
        <v>0</v>
      </c>
      <c r="H492" s="25">
        <f t="shared" si="446"/>
        <v>0</v>
      </c>
      <c r="I492" s="25">
        <f t="shared" si="447"/>
        <v>0</v>
      </c>
      <c r="J492" s="25">
        <f t="shared" si="448"/>
        <v>0</v>
      </c>
      <c r="K492" s="26" t="s">
        <v>53</v>
      </c>
      <c r="Z492" s="25">
        <f t="shared" si="449"/>
        <v>0</v>
      </c>
      <c r="AB492" s="25">
        <f t="shared" si="450"/>
        <v>0</v>
      </c>
      <c r="AC492" s="25">
        <f t="shared" si="451"/>
        <v>0</v>
      </c>
      <c r="AD492" s="25">
        <f t="shared" si="452"/>
        <v>0</v>
      </c>
      <c r="AE492" s="25">
        <f t="shared" si="453"/>
        <v>0</v>
      </c>
      <c r="AF492" s="25">
        <f t="shared" si="454"/>
        <v>0</v>
      </c>
      <c r="AG492" s="25">
        <f t="shared" si="455"/>
        <v>0</v>
      </c>
      <c r="AH492" s="25">
        <f t="shared" si="456"/>
        <v>0</v>
      </c>
      <c r="AI492" s="11" t="s">
        <v>46</v>
      </c>
      <c r="AJ492" s="25">
        <f t="shared" si="457"/>
        <v>0</v>
      </c>
      <c r="AK492" s="25">
        <f t="shared" si="458"/>
        <v>0</v>
      </c>
      <c r="AL492" s="25">
        <f t="shared" si="459"/>
        <v>0</v>
      </c>
      <c r="AN492" s="25">
        <v>21</v>
      </c>
      <c r="AO492" s="25">
        <f t="shared" si="468"/>
        <v>0</v>
      </c>
      <c r="AP492" s="25">
        <f t="shared" si="469"/>
        <v>0</v>
      </c>
      <c r="AQ492" s="27" t="s">
        <v>76</v>
      </c>
      <c r="AV492" s="25">
        <f t="shared" si="460"/>
        <v>0</v>
      </c>
      <c r="AW492" s="25">
        <f t="shared" si="461"/>
        <v>0</v>
      </c>
      <c r="AX492" s="25">
        <f t="shared" si="462"/>
        <v>0</v>
      </c>
      <c r="AY492" s="27" t="s">
        <v>1453</v>
      </c>
      <c r="AZ492" s="27" t="s">
        <v>1426</v>
      </c>
      <c r="BA492" s="11" t="s">
        <v>56</v>
      </c>
      <c r="BC492" s="25">
        <f t="shared" si="463"/>
        <v>0</v>
      </c>
      <c r="BD492" s="25">
        <f t="shared" si="464"/>
        <v>0</v>
      </c>
      <c r="BE492" s="25">
        <v>0</v>
      </c>
      <c r="BF492" s="25">
        <f>492</f>
        <v>492</v>
      </c>
      <c r="BH492" s="25">
        <f t="shared" si="465"/>
        <v>0</v>
      </c>
      <c r="BI492" s="25">
        <f t="shared" si="466"/>
        <v>0</v>
      </c>
      <c r="BJ492" s="25">
        <f t="shared" si="467"/>
        <v>0</v>
      </c>
      <c r="BK492" s="27" t="s">
        <v>75</v>
      </c>
      <c r="BL492" s="25">
        <v>766</v>
      </c>
      <c r="BW492" s="25">
        <v>21</v>
      </c>
      <c r="BX492" s="5" t="s">
        <v>1486</v>
      </c>
    </row>
    <row r="493" spans="1:76" ht="25.5" x14ac:dyDescent="0.25">
      <c r="A493" s="2" t="s">
        <v>1487</v>
      </c>
      <c r="B493" s="3" t="s">
        <v>1488</v>
      </c>
      <c r="C493" s="93" t="s">
        <v>1489</v>
      </c>
      <c r="D493" s="94"/>
      <c r="E493" s="3" t="s">
        <v>52</v>
      </c>
      <c r="F493" s="25">
        <v>2</v>
      </c>
      <c r="G493" s="25">
        <v>0</v>
      </c>
      <c r="H493" s="25">
        <f t="shared" si="446"/>
        <v>0</v>
      </c>
      <c r="I493" s="25">
        <f t="shared" si="447"/>
        <v>0</v>
      </c>
      <c r="J493" s="25">
        <f t="shared" si="448"/>
        <v>0</v>
      </c>
      <c r="K493" s="26" t="s">
        <v>53</v>
      </c>
      <c r="Z493" s="25">
        <f t="shared" si="449"/>
        <v>0</v>
      </c>
      <c r="AB493" s="25">
        <f t="shared" si="450"/>
        <v>0</v>
      </c>
      <c r="AC493" s="25">
        <f t="shared" si="451"/>
        <v>0</v>
      </c>
      <c r="AD493" s="25">
        <f t="shared" si="452"/>
        <v>0</v>
      </c>
      <c r="AE493" s="25">
        <f t="shared" si="453"/>
        <v>0</v>
      </c>
      <c r="AF493" s="25">
        <f t="shared" si="454"/>
        <v>0</v>
      </c>
      <c r="AG493" s="25">
        <f t="shared" si="455"/>
        <v>0</v>
      </c>
      <c r="AH493" s="25">
        <f t="shared" si="456"/>
        <v>0</v>
      </c>
      <c r="AI493" s="11" t="s">
        <v>46</v>
      </c>
      <c r="AJ493" s="25">
        <f t="shared" si="457"/>
        <v>0</v>
      </c>
      <c r="AK493" s="25">
        <f t="shared" si="458"/>
        <v>0</v>
      </c>
      <c r="AL493" s="25">
        <f t="shared" si="459"/>
        <v>0</v>
      </c>
      <c r="AN493" s="25">
        <v>21</v>
      </c>
      <c r="AO493" s="25">
        <f t="shared" si="468"/>
        <v>0</v>
      </c>
      <c r="AP493" s="25">
        <f t="shared" si="469"/>
        <v>0</v>
      </c>
      <c r="AQ493" s="27" t="s">
        <v>76</v>
      </c>
      <c r="AV493" s="25">
        <f t="shared" si="460"/>
        <v>0</v>
      </c>
      <c r="AW493" s="25">
        <f t="shared" si="461"/>
        <v>0</v>
      </c>
      <c r="AX493" s="25">
        <f t="shared" si="462"/>
        <v>0</v>
      </c>
      <c r="AY493" s="27" t="s">
        <v>1453</v>
      </c>
      <c r="AZ493" s="27" t="s">
        <v>1426</v>
      </c>
      <c r="BA493" s="11" t="s">
        <v>56</v>
      </c>
      <c r="BC493" s="25">
        <f t="shared" si="463"/>
        <v>0</v>
      </c>
      <c r="BD493" s="25">
        <f t="shared" si="464"/>
        <v>0</v>
      </c>
      <c r="BE493" s="25">
        <v>0</v>
      </c>
      <c r="BF493" s="25">
        <f>493</f>
        <v>493</v>
      </c>
      <c r="BH493" s="25">
        <f t="shared" si="465"/>
        <v>0</v>
      </c>
      <c r="BI493" s="25">
        <f t="shared" si="466"/>
        <v>0</v>
      </c>
      <c r="BJ493" s="25">
        <f t="shared" si="467"/>
        <v>0</v>
      </c>
      <c r="BK493" s="27" t="s">
        <v>75</v>
      </c>
      <c r="BL493" s="25">
        <v>766</v>
      </c>
      <c r="BW493" s="25">
        <v>21</v>
      </c>
      <c r="BX493" s="5" t="s">
        <v>1489</v>
      </c>
    </row>
    <row r="494" spans="1:76" ht="25.5" x14ac:dyDescent="0.25">
      <c r="A494" s="2" t="s">
        <v>1490</v>
      </c>
      <c r="B494" s="3" t="s">
        <v>1491</v>
      </c>
      <c r="C494" s="93" t="s">
        <v>1492</v>
      </c>
      <c r="D494" s="94"/>
      <c r="E494" s="3" t="s">
        <v>52</v>
      </c>
      <c r="F494" s="25">
        <v>4</v>
      </c>
      <c r="G494" s="25">
        <v>0</v>
      </c>
      <c r="H494" s="25">
        <f t="shared" si="446"/>
        <v>0</v>
      </c>
      <c r="I494" s="25">
        <f t="shared" si="447"/>
        <v>0</v>
      </c>
      <c r="J494" s="25">
        <f t="shared" si="448"/>
        <v>0</v>
      </c>
      <c r="K494" s="26" t="s">
        <v>53</v>
      </c>
      <c r="Z494" s="25">
        <f t="shared" si="449"/>
        <v>0</v>
      </c>
      <c r="AB494" s="25">
        <f t="shared" si="450"/>
        <v>0</v>
      </c>
      <c r="AC494" s="25">
        <f t="shared" si="451"/>
        <v>0</v>
      </c>
      <c r="AD494" s="25">
        <f t="shared" si="452"/>
        <v>0</v>
      </c>
      <c r="AE494" s="25">
        <f t="shared" si="453"/>
        <v>0</v>
      </c>
      <c r="AF494" s="25">
        <f t="shared" si="454"/>
        <v>0</v>
      </c>
      <c r="AG494" s="25">
        <f t="shared" si="455"/>
        <v>0</v>
      </c>
      <c r="AH494" s="25">
        <f t="shared" si="456"/>
        <v>0</v>
      </c>
      <c r="AI494" s="11" t="s">
        <v>46</v>
      </c>
      <c r="AJ494" s="25">
        <f t="shared" si="457"/>
        <v>0</v>
      </c>
      <c r="AK494" s="25">
        <f t="shared" si="458"/>
        <v>0</v>
      </c>
      <c r="AL494" s="25">
        <f t="shared" si="459"/>
        <v>0</v>
      </c>
      <c r="AN494" s="25">
        <v>21</v>
      </c>
      <c r="AO494" s="25">
        <f t="shared" si="468"/>
        <v>0</v>
      </c>
      <c r="AP494" s="25">
        <f t="shared" si="469"/>
        <v>0</v>
      </c>
      <c r="AQ494" s="27" t="s">
        <v>76</v>
      </c>
      <c r="AV494" s="25">
        <f t="shared" si="460"/>
        <v>0</v>
      </c>
      <c r="AW494" s="25">
        <f t="shared" si="461"/>
        <v>0</v>
      </c>
      <c r="AX494" s="25">
        <f t="shared" si="462"/>
        <v>0</v>
      </c>
      <c r="AY494" s="27" t="s">
        <v>1453</v>
      </c>
      <c r="AZ494" s="27" t="s">
        <v>1426</v>
      </c>
      <c r="BA494" s="11" t="s">
        <v>56</v>
      </c>
      <c r="BC494" s="25">
        <f t="shared" si="463"/>
        <v>0</v>
      </c>
      <c r="BD494" s="25">
        <f t="shared" si="464"/>
        <v>0</v>
      </c>
      <c r="BE494" s="25">
        <v>0</v>
      </c>
      <c r="BF494" s="25">
        <f>494</f>
        <v>494</v>
      </c>
      <c r="BH494" s="25">
        <f t="shared" si="465"/>
        <v>0</v>
      </c>
      <c r="BI494" s="25">
        <f t="shared" si="466"/>
        <v>0</v>
      </c>
      <c r="BJ494" s="25">
        <f t="shared" si="467"/>
        <v>0</v>
      </c>
      <c r="BK494" s="27" t="s">
        <v>75</v>
      </c>
      <c r="BL494" s="25">
        <v>766</v>
      </c>
      <c r="BW494" s="25">
        <v>21</v>
      </c>
      <c r="BX494" s="5" t="s">
        <v>1492</v>
      </c>
    </row>
    <row r="495" spans="1:76" x14ac:dyDescent="0.25">
      <c r="A495" s="2" t="s">
        <v>1493</v>
      </c>
      <c r="B495" s="3" t="s">
        <v>1494</v>
      </c>
      <c r="C495" s="93" t="s">
        <v>1495</v>
      </c>
      <c r="D495" s="94"/>
      <c r="E495" s="3" t="s">
        <v>52</v>
      </c>
      <c r="F495" s="25">
        <v>4</v>
      </c>
      <c r="G495" s="25">
        <v>0</v>
      </c>
      <c r="H495" s="25">
        <f t="shared" si="446"/>
        <v>0</v>
      </c>
      <c r="I495" s="25">
        <f t="shared" si="447"/>
        <v>0</v>
      </c>
      <c r="J495" s="25">
        <f t="shared" si="448"/>
        <v>0</v>
      </c>
      <c r="K495" s="26" t="s">
        <v>53</v>
      </c>
      <c r="Z495" s="25">
        <f t="shared" si="449"/>
        <v>0</v>
      </c>
      <c r="AB495" s="25">
        <f t="shared" si="450"/>
        <v>0</v>
      </c>
      <c r="AC495" s="25">
        <f t="shared" si="451"/>
        <v>0</v>
      </c>
      <c r="AD495" s="25">
        <f t="shared" si="452"/>
        <v>0</v>
      </c>
      <c r="AE495" s="25">
        <f t="shared" si="453"/>
        <v>0</v>
      </c>
      <c r="AF495" s="25">
        <f t="shared" si="454"/>
        <v>0</v>
      </c>
      <c r="AG495" s="25">
        <f t="shared" si="455"/>
        <v>0</v>
      </c>
      <c r="AH495" s="25">
        <f t="shared" si="456"/>
        <v>0</v>
      </c>
      <c r="AI495" s="11" t="s">
        <v>46</v>
      </c>
      <c r="AJ495" s="25">
        <f t="shared" si="457"/>
        <v>0</v>
      </c>
      <c r="AK495" s="25">
        <f t="shared" si="458"/>
        <v>0</v>
      </c>
      <c r="AL495" s="25">
        <f t="shared" si="459"/>
        <v>0</v>
      </c>
      <c r="AN495" s="25">
        <v>21</v>
      </c>
      <c r="AO495" s="25">
        <f>G495*0</f>
        <v>0</v>
      </c>
      <c r="AP495" s="25">
        <f>G495*(1-0)</f>
        <v>0</v>
      </c>
      <c r="AQ495" s="27" t="s">
        <v>76</v>
      </c>
      <c r="AV495" s="25">
        <f t="shared" si="460"/>
        <v>0</v>
      </c>
      <c r="AW495" s="25">
        <f t="shared" si="461"/>
        <v>0</v>
      </c>
      <c r="AX495" s="25">
        <f t="shared" si="462"/>
        <v>0</v>
      </c>
      <c r="AY495" s="27" t="s">
        <v>1453</v>
      </c>
      <c r="AZ495" s="27" t="s">
        <v>1426</v>
      </c>
      <c r="BA495" s="11" t="s">
        <v>56</v>
      </c>
      <c r="BC495" s="25">
        <f t="shared" si="463"/>
        <v>0</v>
      </c>
      <c r="BD495" s="25">
        <f t="shared" si="464"/>
        <v>0</v>
      </c>
      <c r="BE495" s="25">
        <v>0</v>
      </c>
      <c r="BF495" s="25">
        <f>495</f>
        <v>495</v>
      </c>
      <c r="BH495" s="25">
        <f t="shared" si="465"/>
        <v>0</v>
      </c>
      <c r="BI495" s="25">
        <f t="shared" si="466"/>
        <v>0</v>
      </c>
      <c r="BJ495" s="25">
        <f t="shared" si="467"/>
        <v>0</v>
      </c>
      <c r="BK495" s="27" t="s">
        <v>57</v>
      </c>
      <c r="BL495" s="25">
        <v>766</v>
      </c>
      <c r="BW495" s="25">
        <v>21</v>
      </c>
      <c r="BX495" s="5" t="s">
        <v>1495</v>
      </c>
    </row>
    <row r="496" spans="1:76" ht="25.5" x14ac:dyDescent="0.25">
      <c r="A496" s="2" t="s">
        <v>1496</v>
      </c>
      <c r="B496" s="3" t="s">
        <v>1497</v>
      </c>
      <c r="C496" s="93" t="s">
        <v>1498</v>
      </c>
      <c r="D496" s="94"/>
      <c r="E496" s="3" t="s">
        <v>52</v>
      </c>
      <c r="F496" s="25">
        <v>2</v>
      </c>
      <c r="G496" s="25">
        <v>0</v>
      </c>
      <c r="H496" s="25">
        <f t="shared" si="446"/>
        <v>0</v>
      </c>
      <c r="I496" s="25">
        <f t="shared" si="447"/>
        <v>0</v>
      </c>
      <c r="J496" s="25">
        <f t="shared" si="448"/>
        <v>0</v>
      </c>
      <c r="K496" s="26" t="s">
        <v>53</v>
      </c>
      <c r="Z496" s="25">
        <f t="shared" si="449"/>
        <v>0</v>
      </c>
      <c r="AB496" s="25">
        <f t="shared" si="450"/>
        <v>0</v>
      </c>
      <c r="AC496" s="25">
        <f t="shared" si="451"/>
        <v>0</v>
      </c>
      <c r="AD496" s="25">
        <f t="shared" si="452"/>
        <v>0</v>
      </c>
      <c r="AE496" s="25">
        <f t="shared" si="453"/>
        <v>0</v>
      </c>
      <c r="AF496" s="25">
        <f t="shared" si="454"/>
        <v>0</v>
      </c>
      <c r="AG496" s="25">
        <f t="shared" si="455"/>
        <v>0</v>
      </c>
      <c r="AH496" s="25">
        <f t="shared" si="456"/>
        <v>0</v>
      </c>
      <c r="AI496" s="11" t="s">
        <v>46</v>
      </c>
      <c r="AJ496" s="25">
        <f t="shared" si="457"/>
        <v>0</v>
      </c>
      <c r="AK496" s="25">
        <f t="shared" si="458"/>
        <v>0</v>
      </c>
      <c r="AL496" s="25">
        <f t="shared" si="459"/>
        <v>0</v>
      </c>
      <c r="AN496" s="25">
        <v>21</v>
      </c>
      <c r="AO496" s="25">
        <f>G496*1</f>
        <v>0</v>
      </c>
      <c r="AP496" s="25">
        <f>G496*(1-1)</f>
        <v>0</v>
      </c>
      <c r="AQ496" s="27" t="s">
        <v>76</v>
      </c>
      <c r="AV496" s="25">
        <f t="shared" si="460"/>
        <v>0</v>
      </c>
      <c r="AW496" s="25">
        <f t="shared" si="461"/>
        <v>0</v>
      </c>
      <c r="AX496" s="25">
        <f t="shared" si="462"/>
        <v>0</v>
      </c>
      <c r="AY496" s="27" t="s">
        <v>1453</v>
      </c>
      <c r="AZ496" s="27" t="s">
        <v>1426</v>
      </c>
      <c r="BA496" s="11" t="s">
        <v>56</v>
      </c>
      <c r="BC496" s="25">
        <f t="shared" si="463"/>
        <v>0</v>
      </c>
      <c r="BD496" s="25">
        <f t="shared" si="464"/>
        <v>0</v>
      </c>
      <c r="BE496" s="25">
        <v>0</v>
      </c>
      <c r="BF496" s="25">
        <f>496</f>
        <v>496</v>
      </c>
      <c r="BH496" s="25">
        <f t="shared" si="465"/>
        <v>0</v>
      </c>
      <c r="BI496" s="25">
        <f t="shared" si="466"/>
        <v>0</v>
      </c>
      <c r="BJ496" s="25">
        <f t="shared" si="467"/>
        <v>0</v>
      </c>
      <c r="BK496" s="27" t="s">
        <v>75</v>
      </c>
      <c r="BL496" s="25">
        <v>766</v>
      </c>
      <c r="BW496" s="25">
        <v>21</v>
      </c>
      <c r="BX496" s="5" t="s">
        <v>1498</v>
      </c>
    </row>
    <row r="497" spans="1:76" ht="25.5" x14ac:dyDescent="0.25">
      <c r="A497" s="2" t="s">
        <v>1499</v>
      </c>
      <c r="B497" s="3" t="s">
        <v>1500</v>
      </c>
      <c r="C497" s="93" t="s">
        <v>1501</v>
      </c>
      <c r="D497" s="94"/>
      <c r="E497" s="3" t="s">
        <v>52</v>
      </c>
      <c r="F497" s="25">
        <v>1</v>
      </c>
      <c r="G497" s="25">
        <v>0</v>
      </c>
      <c r="H497" s="25">
        <f t="shared" si="446"/>
        <v>0</v>
      </c>
      <c r="I497" s="25">
        <f t="shared" si="447"/>
        <v>0</v>
      </c>
      <c r="J497" s="25">
        <f t="shared" si="448"/>
        <v>0</v>
      </c>
      <c r="K497" s="26" t="s">
        <v>53</v>
      </c>
      <c r="Z497" s="25">
        <f t="shared" si="449"/>
        <v>0</v>
      </c>
      <c r="AB497" s="25">
        <f t="shared" si="450"/>
        <v>0</v>
      </c>
      <c r="AC497" s="25">
        <f t="shared" si="451"/>
        <v>0</v>
      </c>
      <c r="AD497" s="25">
        <f t="shared" si="452"/>
        <v>0</v>
      </c>
      <c r="AE497" s="25">
        <f t="shared" si="453"/>
        <v>0</v>
      </c>
      <c r="AF497" s="25">
        <f t="shared" si="454"/>
        <v>0</v>
      </c>
      <c r="AG497" s="25">
        <f t="shared" si="455"/>
        <v>0</v>
      </c>
      <c r="AH497" s="25">
        <f t="shared" si="456"/>
        <v>0</v>
      </c>
      <c r="AI497" s="11" t="s">
        <v>46</v>
      </c>
      <c r="AJ497" s="25">
        <f t="shared" si="457"/>
        <v>0</v>
      </c>
      <c r="AK497" s="25">
        <f t="shared" si="458"/>
        <v>0</v>
      </c>
      <c r="AL497" s="25">
        <f t="shared" si="459"/>
        <v>0</v>
      </c>
      <c r="AN497" s="25">
        <v>21</v>
      </c>
      <c r="AO497" s="25">
        <f>G497*1</f>
        <v>0</v>
      </c>
      <c r="AP497" s="25">
        <f>G497*(1-1)</f>
        <v>0</v>
      </c>
      <c r="AQ497" s="27" t="s">
        <v>76</v>
      </c>
      <c r="AV497" s="25">
        <f t="shared" si="460"/>
        <v>0</v>
      </c>
      <c r="AW497" s="25">
        <f t="shared" si="461"/>
        <v>0</v>
      </c>
      <c r="AX497" s="25">
        <f t="shared" si="462"/>
        <v>0</v>
      </c>
      <c r="AY497" s="27" t="s">
        <v>1453</v>
      </c>
      <c r="AZ497" s="27" t="s">
        <v>1426</v>
      </c>
      <c r="BA497" s="11" t="s">
        <v>56</v>
      </c>
      <c r="BC497" s="25">
        <f t="shared" si="463"/>
        <v>0</v>
      </c>
      <c r="BD497" s="25">
        <f t="shared" si="464"/>
        <v>0</v>
      </c>
      <c r="BE497" s="25">
        <v>0</v>
      </c>
      <c r="BF497" s="25">
        <f>497</f>
        <v>497</v>
      </c>
      <c r="BH497" s="25">
        <f t="shared" si="465"/>
        <v>0</v>
      </c>
      <c r="BI497" s="25">
        <f t="shared" si="466"/>
        <v>0</v>
      </c>
      <c r="BJ497" s="25">
        <f t="shared" si="467"/>
        <v>0</v>
      </c>
      <c r="BK497" s="27" t="s">
        <v>75</v>
      </c>
      <c r="BL497" s="25">
        <v>766</v>
      </c>
      <c r="BW497" s="25">
        <v>21</v>
      </c>
      <c r="BX497" s="5" t="s">
        <v>1501</v>
      </c>
    </row>
    <row r="498" spans="1:76" ht="25.5" x14ac:dyDescent="0.25">
      <c r="A498" s="2" t="s">
        <v>1502</v>
      </c>
      <c r="B498" s="3" t="s">
        <v>1503</v>
      </c>
      <c r="C498" s="93" t="s">
        <v>1504</v>
      </c>
      <c r="D498" s="94"/>
      <c r="E498" s="3" t="s">
        <v>52</v>
      </c>
      <c r="F498" s="25">
        <v>4</v>
      </c>
      <c r="G498" s="25">
        <v>0</v>
      </c>
      <c r="H498" s="25">
        <f t="shared" si="446"/>
        <v>0</v>
      </c>
      <c r="I498" s="25">
        <f t="shared" si="447"/>
        <v>0</v>
      </c>
      <c r="J498" s="25">
        <f t="shared" si="448"/>
        <v>0</v>
      </c>
      <c r="K498" s="26" t="s">
        <v>53</v>
      </c>
      <c r="Z498" s="25">
        <f t="shared" si="449"/>
        <v>0</v>
      </c>
      <c r="AB498" s="25">
        <f t="shared" si="450"/>
        <v>0</v>
      </c>
      <c r="AC498" s="25">
        <f t="shared" si="451"/>
        <v>0</v>
      </c>
      <c r="AD498" s="25">
        <f t="shared" si="452"/>
        <v>0</v>
      </c>
      <c r="AE498" s="25">
        <f t="shared" si="453"/>
        <v>0</v>
      </c>
      <c r="AF498" s="25">
        <f t="shared" si="454"/>
        <v>0</v>
      </c>
      <c r="AG498" s="25">
        <f t="shared" si="455"/>
        <v>0</v>
      </c>
      <c r="AH498" s="25">
        <f t="shared" si="456"/>
        <v>0</v>
      </c>
      <c r="AI498" s="11" t="s">
        <v>46</v>
      </c>
      <c r="AJ498" s="25">
        <f t="shared" si="457"/>
        <v>0</v>
      </c>
      <c r="AK498" s="25">
        <f t="shared" si="458"/>
        <v>0</v>
      </c>
      <c r="AL498" s="25">
        <f t="shared" si="459"/>
        <v>0</v>
      </c>
      <c r="AN498" s="25">
        <v>21</v>
      </c>
      <c r="AO498" s="25">
        <f>G498*1</f>
        <v>0</v>
      </c>
      <c r="AP498" s="25">
        <f>G498*(1-1)</f>
        <v>0</v>
      </c>
      <c r="AQ498" s="27" t="s">
        <v>76</v>
      </c>
      <c r="AV498" s="25">
        <f t="shared" si="460"/>
        <v>0</v>
      </c>
      <c r="AW498" s="25">
        <f t="shared" si="461"/>
        <v>0</v>
      </c>
      <c r="AX498" s="25">
        <f t="shared" si="462"/>
        <v>0</v>
      </c>
      <c r="AY498" s="27" t="s">
        <v>1453</v>
      </c>
      <c r="AZ498" s="27" t="s">
        <v>1426</v>
      </c>
      <c r="BA498" s="11" t="s">
        <v>56</v>
      </c>
      <c r="BC498" s="25">
        <f t="shared" si="463"/>
        <v>0</v>
      </c>
      <c r="BD498" s="25">
        <f t="shared" si="464"/>
        <v>0</v>
      </c>
      <c r="BE498" s="25">
        <v>0</v>
      </c>
      <c r="BF498" s="25">
        <f>498</f>
        <v>498</v>
      </c>
      <c r="BH498" s="25">
        <f t="shared" si="465"/>
        <v>0</v>
      </c>
      <c r="BI498" s="25">
        <f t="shared" si="466"/>
        <v>0</v>
      </c>
      <c r="BJ498" s="25">
        <f t="shared" si="467"/>
        <v>0</v>
      </c>
      <c r="BK498" s="27" t="s">
        <v>75</v>
      </c>
      <c r="BL498" s="25">
        <v>766</v>
      </c>
      <c r="BW498" s="25">
        <v>21</v>
      </c>
      <c r="BX498" s="5" t="s">
        <v>1504</v>
      </c>
    </row>
    <row r="499" spans="1:76" x14ac:dyDescent="0.25">
      <c r="A499" s="2" t="s">
        <v>1505</v>
      </c>
      <c r="B499" s="3" t="s">
        <v>1506</v>
      </c>
      <c r="C499" s="93" t="s">
        <v>1507</v>
      </c>
      <c r="D499" s="94"/>
      <c r="E499" s="3" t="s">
        <v>52</v>
      </c>
      <c r="F499" s="25">
        <v>1</v>
      </c>
      <c r="G499" s="25">
        <v>0</v>
      </c>
      <c r="H499" s="25">
        <f t="shared" si="446"/>
        <v>0</v>
      </c>
      <c r="I499" s="25">
        <f t="shared" si="447"/>
        <v>0</v>
      </c>
      <c r="J499" s="25">
        <f t="shared" si="448"/>
        <v>0</v>
      </c>
      <c r="K499" s="26" t="s">
        <v>53</v>
      </c>
      <c r="Z499" s="25">
        <f t="shared" si="449"/>
        <v>0</v>
      </c>
      <c r="AB499" s="25">
        <f t="shared" si="450"/>
        <v>0</v>
      </c>
      <c r="AC499" s="25">
        <f t="shared" si="451"/>
        <v>0</v>
      </c>
      <c r="AD499" s="25">
        <f t="shared" si="452"/>
        <v>0</v>
      </c>
      <c r="AE499" s="25">
        <f t="shared" si="453"/>
        <v>0</v>
      </c>
      <c r="AF499" s="25">
        <f t="shared" si="454"/>
        <v>0</v>
      </c>
      <c r="AG499" s="25">
        <f t="shared" si="455"/>
        <v>0</v>
      </c>
      <c r="AH499" s="25">
        <f t="shared" si="456"/>
        <v>0</v>
      </c>
      <c r="AI499" s="11" t="s">
        <v>46</v>
      </c>
      <c r="AJ499" s="25">
        <f t="shared" si="457"/>
        <v>0</v>
      </c>
      <c r="AK499" s="25">
        <f t="shared" si="458"/>
        <v>0</v>
      </c>
      <c r="AL499" s="25">
        <f t="shared" si="459"/>
        <v>0</v>
      </c>
      <c r="AN499" s="25">
        <v>21</v>
      </c>
      <c r="AO499" s="25">
        <f>G499*0</f>
        <v>0</v>
      </c>
      <c r="AP499" s="25">
        <f>G499*(1-0)</f>
        <v>0</v>
      </c>
      <c r="AQ499" s="27" t="s">
        <v>76</v>
      </c>
      <c r="AV499" s="25">
        <f t="shared" si="460"/>
        <v>0</v>
      </c>
      <c r="AW499" s="25">
        <f t="shared" si="461"/>
        <v>0</v>
      </c>
      <c r="AX499" s="25">
        <f t="shared" si="462"/>
        <v>0</v>
      </c>
      <c r="AY499" s="27" t="s">
        <v>1453</v>
      </c>
      <c r="AZ499" s="27" t="s">
        <v>1426</v>
      </c>
      <c r="BA499" s="11" t="s">
        <v>56</v>
      </c>
      <c r="BC499" s="25">
        <f t="shared" si="463"/>
        <v>0</v>
      </c>
      <c r="BD499" s="25">
        <f t="shared" si="464"/>
        <v>0</v>
      </c>
      <c r="BE499" s="25">
        <v>0</v>
      </c>
      <c r="BF499" s="25">
        <f>499</f>
        <v>499</v>
      </c>
      <c r="BH499" s="25">
        <f t="shared" si="465"/>
        <v>0</v>
      </c>
      <c r="BI499" s="25">
        <f t="shared" si="466"/>
        <v>0</v>
      </c>
      <c r="BJ499" s="25">
        <f t="shared" si="467"/>
        <v>0</v>
      </c>
      <c r="BK499" s="27" t="s">
        <v>57</v>
      </c>
      <c r="BL499" s="25">
        <v>766</v>
      </c>
      <c r="BW499" s="25">
        <v>21</v>
      </c>
      <c r="BX499" s="5" t="s">
        <v>1507</v>
      </c>
    </row>
    <row r="500" spans="1:76" ht="25.5" x14ac:dyDescent="0.25">
      <c r="A500" s="2" t="s">
        <v>1508</v>
      </c>
      <c r="B500" s="3" t="s">
        <v>1509</v>
      </c>
      <c r="C500" s="93" t="s">
        <v>1510</v>
      </c>
      <c r="D500" s="94"/>
      <c r="E500" s="3" t="s">
        <v>52</v>
      </c>
      <c r="F500" s="25">
        <v>1</v>
      </c>
      <c r="G500" s="25">
        <v>0</v>
      </c>
      <c r="H500" s="25">
        <f t="shared" si="446"/>
        <v>0</v>
      </c>
      <c r="I500" s="25">
        <f t="shared" si="447"/>
        <v>0</v>
      </c>
      <c r="J500" s="25">
        <f t="shared" si="448"/>
        <v>0</v>
      </c>
      <c r="K500" s="26" t="s">
        <v>53</v>
      </c>
      <c r="Z500" s="25">
        <f t="shared" si="449"/>
        <v>0</v>
      </c>
      <c r="AB500" s="25">
        <f t="shared" si="450"/>
        <v>0</v>
      </c>
      <c r="AC500" s="25">
        <f t="shared" si="451"/>
        <v>0</v>
      </c>
      <c r="AD500" s="25">
        <f t="shared" si="452"/>
        <v>0</v>
      </c>
      <c r="AE500" s="25">
        <f t="shared" si="453"/>
        <v>0</v>
      </c>
      <c r="AF500" s="25">
        <f t="shared" si="454"/>
        <v>0</v>
      </c>
      <c r="AG500" s="25">
        <f t="shared" si="455"/>
        <v>0</v>
      </c>
      <c r="AH500" s="25">
        <f t="shared" si="456"/>
        <v>0</v>
      </c>
      <c r="AI500" s="11" t="s">
        <v>46</v>
      </c>
      <c r="AJ500" s="25">
        <f t="shared" si="457"/>
        <v>0</v>
      </c>
      <c r="AK500" s="25">
        <f t="shared" si="458"/>
        <v>0</v>
      </c>
      <c r="AL500" s="25">
        <f t="shared" si="459"/>
        <v>0</v>
      </c>
      <c r="AN500" s="25">
        <v>21</v>
      </c>
      <c r="AO500" s="25">
        <f>G500*1</f>
        <v>0</v>
      </c>
      <c r="AP500" s="25">
        <f>G500*(1-1)</f>
        <v>0</v>
      </c>
      <c r="AQ500" s="27" t="s">
        <v>76</v>
      </c>
      <c r="AV500" s="25">
        <f t="shared" si="460"/>
        <v>0</v>
      </c>
      <c r="AW500" s="25">
        <f t="shared" si="461"/>
        <v>0</v>
      </c>
      <c r="AX500" s="25">
        <f t="shared" si="462"/>
        <v>0</v>
      </c>
      <c r="AY500" s="27" t="s">
        <v>1453</v>
      </c>
      <c r="AZ500" s="27" t="s">
        <v>1426</v>
      </c>
      <c r="BA500" s="11" t="s">
        <v>56</v>
      </c>
      <c r="BC500" s="25">
        <f t="shared" si="463"/>
        <v>0</v>
      </c>
      <c r="BD500" s="25">
        <f t="shared" si="464"/>
        <v>0</v>
      </c>
      <c r="BE500" s="25">
        <v>0</v>
      </c>
      <c r="BF500" s="25">
        <f>500</f>
        <v>500</v>
      </c>
      <c r="BH500" s="25">
        <f t="shared" si="465"/>
        <v>0</v>
      </c>
      <c r="BI500" s="25">
        <f t="shared" si="466"/>
        <v>0</v>
      </c>
      <c r="BJ500" s="25">
        <f t="shared" si="467"/>
        <v>0</v>
      </c>
      <c r="BK500" s="27" t="s">
        <v>75</v>
      </c>
      <c r="BL500" s="25">
        <v>766</v>
      </c>
      <c r="BW500" s="25">
        <v>21</v>
      </c>
      <c r="BX500" s="5" t="s">
        <v>1510</v>
      </c>
    </row>
    <row r="501" spans="1:76" x14ac:dyDescent="0.25">
      <c r="A501" s="2" t="s">
        <v>1511</v>
      </c>
      <c r="B501" s="3" t="s">
        <v>1512</v>
      </c>
      <c r="C501" s="93" t="s">
        <v>1513</v>
      </c>
      <c r="D501" s="94"/>
      <c r="E501" s="3" t="s">
        <v>52</v>
      </c>
      <c r="F501" s="25">
        <v>5</v>
      </c>
      <c r="G501" s="25">
        <v>0</v>
      </c>
      <c r="H501" s="25">
        <f t="shared" si="446"/>
        <v>0</v>
      </c>
      <c r="I501" s="25">
        <f t="shared" si="447"/>
        <v>0</v>
      </c>
      <c r="J501" s="25">
        <f t="shared" si="448"/>
        <v>0</v>
      </c>
      <c r="K501" s="26" t="s">
        <v>53</v>
      </c>
      <c r="Z501" s="25">
        <f t="shared" si="449"/>
        <v>0</v>
      </c>
      <c r="AB501" s="25">
        <f t="shared" si="450"/>
        <v>0</v>
      </c>
      <c r="AC501" s="25">
        <f t="shared" si="451"/>
        <v>0</v>
      </c>
      <c r="AD501" s="25">
        <f t="shared" si="452"/>
        <v>0</v>
      </c>
      <c r="AE501" s="25">
        <f t="shared" si="453"/>
        <v>0</v>
      </c>
      <c r="AF501" s="25">
        <f t="shared" si="454"/>
        <v>0</v>
      </c>
      <c r="AG501" s="25">
        <f t="shared" si="455"/>
        <v>0</v>
      </c>
      <c r="AH501" s="25">
        <f t="shared" si="456"/>
        <v>0</v>
      </c>
      <c r="AI501" s="11" t="s">
        <v>46</v>
      </c>
      <c r="AJ501" s="25">
        <f t="shared" si="457"/>
        <v>0</v>
      </c>
      <c r="AK501" s="25">
        <f t="shared" si="458"/>
        <v>0</v>
      </c>
      <c r="AL501" s="25">
        <f t="shared" si="459"/>
        <v>0</v>
      </c>
      <c r="AN501" s="25">
        <v>21</v>
      </c>
      <c r="AO501" s="25">
        <f>G501*0</f>
        <v>0</v>
      </c>
      <c r="AP501" s="25">
        <f>G501*(1-0)</f>
        <v>0</v>
      </c>
      <c r="AQ501" s="27" t="s">
        <v>76</v>
      </c>
      <c r="AV501" s="25">
        <f t="shared" si="460"/>
        <v>0</v>
      </c>
      <c r="AW501" s="25">
        <f t="shared" si="461"/>
        <v>0</v>
      </c>
      <c r="AX501" s="25">
        <f t="shared" si="462"/>
        <v>0</v>
      </c>
      <c r="AY501" s="27" t="s">
        <v>1453</v>
      </c>
      <c r="AZ501" s="27" t="s">
        <v>1426</v>
      </c>
      <c r="BA501" s="11" t="s">
        <v>56</v>
      </c>
      <c r="BC501" s="25">
        <f t="shared" si="463"/>
        <v>0</v>
      </c>
      <c r="BD501" s="25">
        <f t="shared" si="464"/>
        <v>0</v>
      </c>
      <c r="BE501" s="25">
        <v>0</v>
      </c>
      <c r="BF501" s="25">
        <f>501</f>
        <v>501</v>
      </c>
      <c r="BH501" s="25">
        <f t="shared" si="465"/>
        <v>0</v>
      </c>
      <c r="BI501" s="25">
        <f t="shared" si="466"/>
        <v>0</v>
      </c>
      <c r="BJ501" s="25">
        <f t="shared" si="467"/>
        <v>0</v>
      </c>
      <c r="BK501" s="27" t="s">
        <v>57</v>
      </c>
      <c r="BL501" s="25">
        <v>766</v>
      </c>
      <c r="BW501" s="25">
        <v>21</v>
      </c>
      <c r="BX501" s="5" t="s">
        <v>1513</v>
      </c>
    </row>
    <row r="502" spans="1:76" ht="25.5" x14ac:dyDescent="0.25">
      <c r="A502" s="2" t="s">
        <v>1514</v>
      </c>
      <c r="B502" s="3" t="s">
        <v>1515</v>
      </c>
      <c r="C502" s="93" t="s">
        <v>1516</v>
      </c>
      <c r="D502" s="94"/>
      <c r="E502" s="3" t="s">
        <v>52</v>
      </c>
      <c r="F502" s="25">
        <v>2</v>
      </c>
      <c r="G502" s="25">
        <v>0</v>
      </c>
      <c r="H502" s="25">
        <f t="shared" si="446"/>
        <v>0</v>
      </c>
      <c r="I502" s="25">
        <f t="shared" si="447"/>
        <v>0</v>
      </c>
      <c r="J502" s="25">
        <f t="shared" si="448"/>
        <v>0</v>
      </c>
      <c r="K502" s="26" t="s">
        <v>53</v>
      </c>
      <c r="Z502" s="25">
        <f t="shared" si="449"/>
        <v>0</v>
      </c>
      <c r="AB502" s="25">
        <f t="shared" si="450"/>
        <v>0</v>
      </c>
      <c r="AC502" s="25">
        <f t="shared" si="451"/>
        <v>0</v>
      </c>
      <c r="AD502" s="25">
        <f t="shared" si="452"/>
        <v>0</v>
      </c>
      <c r="AE502" s="25">
        <f t="shared" si="453"/>
        <v>0</v>
      </c>
      <c r="AF502" s="25">
        <f t="shared" si="454"/>
        <v>0</v>
      </c>
      <c r="AG502" s="25">
        <f t="shared" si="455"/>
        <v>0</v>
      </c>
      <c r="AH502" s="25">
        <f t="shared" si="456"/>
        <v>0</v>
      </c>
      <c r="AI502" s="11" t="s">
        <v>46</v>
      </c>
      <c r="AJ502" s="25">
        <f t="shared" si="457"/>
        <v>0</v>
      </c>
      <c r="AK502" s="25">
        <f t="shared" si="458"/>
        <v>0</v>
      </c>
      <c r="AL502" s="25">
        <f t="shared" si="459"/>
        <v>0</v>
      </c>
      <c r="AN502" s="25">
        <v>21</v>
      </c>
      <c r="AO502" s="25">
        <f>G502*1</f>
        <v>0</v>
      </c>
      <c r="AP502" s="25">
        <f>G502*(1-1)</f>
        <v>0</v>
      </c>
      <c r="AQ502" s="27" t="s">
        <v>76</v>
      </c>
      <c r="AV502" s="25">
        <f t="shared" si="460"/>
        <v>0</v>
      </c>
      <c r="AW502" s="25">
        <f t="shared" si="461"/>
        <v>0</v>
      </c>
      <c r="AX502" s="25">
        <f t="shared" si="462"/>
        <v>0</v>
      </c>
      <c r="AY502" s="27" t="s">
        <v>1453</v>
      </c>
      <c r="AZ502" s="27" t="s">
        <v>1426</v>
      </c>
      <c r="BA502" s="11" t="s">
        <v>56</v>
      </c>
      <c r="BC502" s="25">
        <f t="shared" si="463"/>
        <v>0</v>
      </c>
      <c r="BD502" s="25">
        <f t="shared" si="464"/>
        <v>0</v>
      </c>
      <c r="BE502" s="25">
        <v>0</v>
      </c>
      <c r="BF502" s="25">
        <f>502</f>
        <v>502</v>
      </c>
      <c r="BH502" s="25">
        <f t="shared" si="465"/>
        <v>0</v>
      </c>
      <c r="BI502" s="25">
        <f t="shared" si="466"/>
        <v>0</v>
      </c>
      <c r="BJ502" s="25">
        <f t="shared" si="467"/>
        <v>0</v>
      </c>
      <c r="BK502" s="27" t="s">
        <v>75</v>
      </c>
      <c r="BL502" s="25">
        <v>766</v>
      </c>
      <c r="BW502" s="25">
        <v>21</v>
      </c>
      <c r="BX502" s="5" t="s">
        <v>1516</v>
      </c>
    </row>
    <row r="503" spans="1:76" ht="25.5" x14ac:dyDescent="0.25">
      <c r="A503" s="2" t="s">
        <v>1517</v>
      </c>
      <c r="B503" s="3" t="s">
        <v>1518</v>
      </c>
      <c r="C503" s="93" t="s">
        <v>1519</v>
      </c>
      <c r="D503" s="94"/>
      <c r="E503" s="3" t="s">
        <v>52</v>
      </c>
      <c r="F503" s="25">
        <v>1</v>
      </c>
      <c r="G503" s="25">
        <v>0</v>
      </c>
      <c r="H503" s="25">
        <f t="shared" si="446"/>
        <v>0</v>
      </c>
      <c r="I503" s="25">
        <f t="shared" si="447"/>
        <v>0</v>
      </c>
      <c r="J503" s="25">
        <f t="shared" si="448"/>
        <v>0</v>
      </c>
      <c r="K503" s="26" t="s">
        <v>53</v>
      </c>
      <c r="Z503" s="25">
        <f t="shared" si="449"/>
        <v>0</v>
      </c>
      <c r="AB503" s="25">
        <f t="shared" si="450"/>
        <v>0</v>
      </c>
      <c r="AC503" s="25">
        <f t="shared" si="451"/>
        <v>0</v>
      </c>
      <c r="AD503" s="25">
        <f t="shared" si="452"/>
        <v>0</v>
      </c>
      <c r="AE503" s="25">
        <f t="shared" si="453"/>
        <v>0</v>
      </c>
      <c r="AF503" s="25">
        <f t="shared" si="454"/>
        <v>0</v>
      </c>
      <c r="AG503" s="25">
        <f t="shared" si="455"/>
        <v>0</v>
      </c>
      <c r="AH503" s="25">
        <f t="shared" si="456"/>
        <v>0</v>
      </c>
      <c r="AI503" s="11" t="s">
        <v>46</v>
      </c>
      <c r="AJ503" s="25">
        <f t="shared" si="457"/>
        <v>0</v>
      </c>
      <c r="AK503" s="25">
        <f t="shared" si="458"/>
        <v>0</v>
      </c>
      <c r="AL503" s="25">
        <f t="shared" si="459"/>
        <v>0</v>
      </c>
      <c r="AN503" s="25">
        <v>21</v>
      </c>
      <c r="AO503" s="25">
        <f>G503*1</f>
        <v>0</v>
      </c>
      <c r="AP503" s="25">
        <f>G503*(1-1)</f>
        <v>0</v>
      </c>
      <c r="AQ503" s="27" t="s">
        <v>76</v>
      </c>
      <c r="AV503" s="25">
        <f t="shared" si="460"/>
        <v>0</v>
      </c>
      <c r="AW503" s="25">
        <f t="shared" si="461"/>
        <v>0</v>
      </c>
      <c r="AX503" s="25">
        <f t="shared" si="462"/>
        <v>0</v>
      </c>
      <c r="AY503" s="27" t="s">
        <v>1453</v>
      </c>
      <c r="AZ503" s="27" t="s">
        <v>1426</v>
      </c>
      <c r="BA503" s="11" t="s">
        <v>56</v>
      </c>
      <c r="BC503" s="25">
        <f t="shared" si="463"/>
        <v>0</v>
      </c>
      <c r="BD503" s="25">
        <f t="shared" si="464"/>
        <v>0</v>
      </c>
      <c r="BE503" s="25">
        <v>0</v>
      </c>
      <c r="BF503" s="25">
        <f>503</f>
        <v>503</v>
      </c>
      <c r="BH503" s="25">
        <f t="shared" si="465"/>
        <v>0</v>
      </c>
      <c r="BI503" s="25">
        <f t="shared" si="466"/>
        <v>0</v>
      </c>
      <c r="BJ503" s="25">
        <f t="shared" si="467"/>
        <v>0</v>
      </c>
      <c r="BK503" s="27" t="s">
        <v>75</v>
      </c>
      <c r="BL503" s="25">
        <v>766</v>
      </c>
      <c r="BW503" s="25">
        <v>21</v>
      </c>
      <c r="BX503" s="5" t="s">
        <v>1519</v>
      </c>
    </row>
    <row r="504" spans="1:76" ht="25.5" x14ac:dyDescent="0.25">
      <c r="A504" s="2" t="s">
        <v>1520</v>
      </c>
      <c r="B504" s="3" t="s">
        <v>1521</v>
      </c>
      <c r="C504" s="93" t="s">
        <v>1522</v>
      </c>
      <c r="D504" s="94"/>
      <c r="E504" s="3" t="s">
        <v>52</v>
      </c>
      <c r="F504" s="25">
        <v>2</v>
      </c>
      <c r="G504" s="25">
        <v>0</v>
      </c>
      <c r="H504" s="25">
        <f t="shared" si="446"/>
        <v>0</v>
      </c>
      <c r="I504" s="25">
        <f t="shared" si="447"/>
        <v>0</v>
      </c>
      <c r="J504" s="25">
        <f t="shared" si="448"/>
        <v>0</v>
      </c>
      <c r="K504" s="26" t="s">
        <v>53</v>
      </c>
      <c r="Z504" s="25">
        <f t="shared" si="449"/>
        <v>0</v>
      </c>
      <c r="AB504" s="25">
        <f t="shared" si="450"/>
        <v>0</v>
      </c>
      <c r="AC504" s="25">
        <f t="shared" si="451"/>
        <v>0</v>
      </c>
      <c r="AD504" s="25">
        <f t="shared" si="452"/>
        <v>0</v>
      </c>
      <c r="AE504" s="25">
        <f t="shared" si="453"/>
        <v>0</v>
      </c>
      <c r="AF504" s="25">
        <f t="shared" si="454"/>
        <v>0</v>
      </c>
      <c r="AG504" s="25">
        <f t="shared" si="455"/>
        <v>0</v>
      </c>
      <c r="AH504" s="25">
        <f t="shared" si="456"/>
        <v>0</v>
      </c>
      <c r="AI504" s="11" t="s">
        <v>46</v>
      </c>
      <c r="AJ504" s="25">
        <f t="shared" si="457"/>
        <v>0</v>
      </c>
      <c r="AK504" s="25">
        <f t="shared" si="458"/>
        <v>0</v>
      </c>
      <c r="AL504" s="25">
        <f t="shared" si="459"/>
        <v>0</v>
      </c>
      <c r="AN504" s="25">
        <v>21</v>
      </c>
      <c r="AO504" s="25">
        <f>G504*1</f>
        <v>0</v>
      </c>
      <c r="AP504" s="25">
        <f>G504*(1-1)</f>
        <v>0</v>
      </c>
      <c r="AQ504" s="27" t="s">
        <v>76</v>
      </c>
      <c r="AV504" s="25">
        <f t="shared" si="460"/>
        <v>0</v>
      </c>
      <c r="AW504" s="25">
        <f t="shared" si="461"/>
        <v>0</v>
      </c>
      <c r="AX504" s="25">
        <f t="shared" si="462"/>
        <v>0</v>
      </c>
      <c r="AY504" s="27" t="s">
        <v>1453</v>
      </c>
      <c r="AZ504" s="27" t="s">
        <v>1426</v>
      </c>
      <c r="BA504" s="11" t="s">
        <v>56</v>
      </c>
      <c r="BC504" s="25">
        <f t="shared" si="463"/>
        <v>0</v>
      </c>
      <c r="BD504" s="25">
        <f t="shared" si="464"/>
        <v>0</v>
      </c>
      <c r="BE504" s="25">
        <v>0</v>
      </c>
      <c r="BF504" s="25">
        <f>504</f>
        <v>504</v>
      </c>
      <c r="BH504" s="25">
        <f t="shared" si="465"/>
        <v>0</v>
      </c>
      <c r="BI504" s="25">
        <f t="shared" si="466"/>
        <v>0</v>
      </c>
      <c r="BJ504" s="25">
        <f t="shared" si="467"/>
        <v>0</v>
      </c>
      <c r="BK504" s="27" t="s">
        <v>75</v>
      </c>
      <c r="BL504" s="25">
        <v>766</v>
      </c>
      <c r="BW504" s="25">
        <v>21</v>
      </c>
      <c r="BX504" s="5" t="s">
        <v>1522</v>
      </c>
    </row>
    <row r="505" spans="1:76" x14ac:dyDescent="0.25">
      <c r="A505" s="2" t="s">
        <v>1523</v>
      </c>
      <c r="B505" s="3" t="s">
        <v>1524</v>
      </c>
      <c r="C505" s="93" t="s">
        <v>1525</v>
      </c>
      <c r="D505" s="94"/>
      <c r="E505" s="3" t="s">
        <v>52</v>
      </c>
      <c r="F505" s="25">
        <v>1</v>
      </c>
      <c r="G505" s="25">
        <v>0</v>
      </c>
      <c r="H505" s="25">
        <f t="shared" si="446"/>
        <v>0</v>
      </c>
      <c r="I505" s="25">
        <f t="shared" si="447"/>
        <v>0</v>
      </c>
      <c r="J505" s="25">
        <f t="shared" si="448"/>
        <v>0</v>
      </c>
      <c r="K505" s="26" t="s">
        <v>53</v>
      </c>
      <c r="Z505" s="25">
        <f t="shared" si="449"/>
        <v>0</v>
      </c>
      <c r="AB505" s="25">
        <f t="shared" si="450"/>
        <v>0</v>
      </c>
      <c r="AC505" s="25">
        <f t="shared" si="451"/>
        <v>0</v>
      </c>
      <c r="AD505" s="25">
        <f t="shared" si="452"/>
        <v>0</v>
      </c>
      <c r="AE505" s="25">
        <f t="shared" si="453"/>
        <v>0</v>
      </c>
      <c r="AF505" s="25">
        <f t="shared" si="454"/>
        <v>0</v>
      </c>
      <c r="AG505" s="25">
        <f t="shared" si="455"/>
        <v>0</v>
      </c>
      <c r="AH505" s="25">
        <f t="shared" si="456"/>
        <v>0</v>
      </c>
      <c r="AI505" s="11" t="s">
        <v>46</v>
      </c>
      <c r="AJ505" s="25">
        <f t="shared" si="457"/>
        <v>0</v>
      </c>
      <c r="AK505" s="25">
        <f t="shared" si="458"/>
        <v>0</v>
      </c>
      <c r="AL505" s="25">
        <f t="shared" si="459"/>
        <v>0</v>
      </c>
      <c r="AN505" s="25">
        <v>21</v>
      </c>
      <c r="AO505" s="25">
        <f>G505*0</f>
        <v>0</v>
      </c>
      <c r="AP505" s="25">
        <f>G505*(1-0)</f>
        <v>0</v>
      </c>
      <c r="AQ505" s="27" t="s">
        <v>76</v>
      </c>
      <c r="AV505" s="25">
        <f t="shared" si="460"/>
        <v>0</v>
      </c>
      <c r="AW505" s="25">
        <f t="shared" si="461"/>
        <v>0</v>
      </c>
      <c r="AX505" s="25">
        <f t="shared" si="462"/>
        <v>0</v>
      </c>
      <c r="AY505" s="27" t="s">
        <v>1453</v>
      </c>
      <c r="AZ505" s="27" t="s">
        <v>1426</v>
      </c>
      <c r="BA505" s="11" t="s">
        <v>56</v>
      </c>
      <c r="BC505" s="25">
        <f t="shared" si="463"/>
        <v>0</v>
      </c>
      <c r="BD505" s="25">
        <f t="shared" si="464"/>
        <v>0</v>
      </c>
      <c r="BE505" s="25">
        <v>0</v>
      </c>
      <c r="BF505" s="25">
        <f>505</f>
        <v>505</v>
      </c>
      <c r="BH505" s="25">
        <f t="shared" si="465"/>
        <v>0</v>
      </c>
      <c r="BI505" s="25">
        <f t="shared" si="466"/>
        <v>0</v>
      </c>
      <c r="BJ505" s="25">
        <f t="shared" si="467"/>
        <v>0</v>
      </c>
      <c r="BK505" s="27" t="s">
        <v>57</v>
      </c>
      <c r="BL505" s="25">
        <v>766</v>
      </c>
      <c r="BW505" s="25">
        <v>21</v>
      </c>
      <c r="BX505" s="5" t="s">
        <v>1525</v>
      </c>
    </row>
    <row r="506" spans="1:76" ht="25.5" x14ac:dyDescent="0.25">
      <c r="A506" s="2" t="s">
        <v>1526</v>
      </c>
      <c r="B506" s="3" t="s">
        <v>1527</v>
      </c>
      <c r="C506" s="93" t="s">
        <v>1528</v>
      </c>
      <c r="D506" s="94"/>
      <c r="E506" s="3" t="s">
        <v>52</v>
      </c>
      <c r="F506" s="25">
        <v>1</v>
      </c>
      <c r="G506" s="25">
        <v>0</v>
      </c>
      <c r="H506" s="25">
        <f t="shared" si="446"/>
        <v>0</v>
      </c>
      <c r="I506" s="25">
        <f t="shared" si="447"/>
        <v>0</v>
      </c>
      <c r="J506" s="25">
        <f t="shared" si="448"/>
        <v>0</v>
      </c>
      <c r="K506" s="26" t="s">
        <v>53</v>
      </c>
      <c r="Z506" s="25">
        <f t="shared" si="449"/>
        <v>0</v>
      </c>
      <c r="AB506" s="25">
        <f t="shared" si="450"/>
        <v>0</v>
      </c>
      <c r="AC506" s="25">
        <f t="shared" si="451"/>
        <v>0</v>
      </c>
      <c r="AD506" s="25">
        <f t="shared" si="452"/>
        <v>0</v>
      </c>
      <c r="AE506" s="25">
        <f t="shared" si="453"/>
        <v>0</v>
      </c>
      <c r="AF506" s="25">
        <f t="shared" si="454"/>
        <v>0</v>
      </c>
      <c r="AG506" s="25">
        <f t="shared" si="455"/>
        <v>0</v>
      </c>
      <c r="AH506" s="25">
        <f t="shared" si="456"/>
        <v>0</v>
      </c>
      <c r="AI506" s="11" t="s">
        <v>46</v>
      </c>
      <c r="AJ506" s="25">
        <f t="shared" si="457"/>
        <v>0</v>
      </c>
      <c r="AK506" s="25">
        <f t="shared" si="458"/>
        <v>0</v>
      </c>
      <c r="AL506" s="25">
        <f t="shared" si="459"/>
        <v>0</v>
      </c>
      <c r="AN506" s="25">
        <v>21</v>
      </c>
      <c r="AO506" s="25">
        <f>G506*1</f>
        <v>0</v>
      </c>
      <c r="AP506" s="25">
        <f>G506*(1-1)</f>
        <v>0</v>
      </c>
      <c r="AQ506" s="27" t="s">
        <v>76</v>
      </c>
      <c r="AV506" s="25">
        <f t="shared" si="460"/>
        <v>0</v>
      </c>
      <c r="AW506" s="25">
        <f t="shared" si="461"/>
        <v>0</v>
      </c>
      <c r="AX506" s="25">
        <f t="shared" si="462"/>
        <v>0</v>
      </c>
      <c r="AY506" s="27" t="s">
        <v>1453</v>
      </c>
      <c r="AZ506" s="27" t="s">
        <v>1426</v>
      </c>
      <c r="BA506" s="11" t="s">
        <v>56</v>
      </c>
      <c r="BC506" s="25">
        <f t="shared" si="463"/>
        <v>0</v>
      </c>
      <c r="BD506" s="25">
        <f t="shared" si="464"/>
        <v>0</v>
      </c>
      <c r="BE506" s="25">
        <v>0</v>
      </c>
      <c r="BF506" s="25">
        <f>506</f>
        <v>506</v>
      </c>
      <c r="BH506" s="25">
        <f t="shared" si="465"/>
        <v>0</v>
      </c>
      <c r="BI506" s="25">
        <f t="shared" si="466"/>
        <v>0</v>
      </c>
      <c r="BJ506" s="25">
        <f t="shared" si="467"/>
        <v>0</v>
      </c>
      <c r="BK506" s="27" t="s">
        <v>75</v>
      </c>
      <c r="BL506" s="25">
        <v>766</v>
      </c>
      <c r="BW506" s="25">
        <v>21</v>
      </c>
      <c r="BX506" s="5" t="s">
        <v>1528</v>
      </c>
    </row>
    <row r="507" spans="1:76" x14ac:dyDescent="0.25">
      <c r="A507" s="2" t="s">
        <v>1529</v>
      </c>
      <c r="B507" s="3" t="s">
        <v>1530</v>
      </c>
      <c r="C507" s="93" t="s">
        <v>1531</v>
      </c>
      <c r="D507" s="94"/>
      <c r="E507" s="3" t="s">
        <v>52</v>
      </c>
      <c r="F507" s="25">
        <v>8</v>
      </c>
      <c r="G507" s="25">
        <v>0</v>
      </c>
      <c r="H507" s="25">
        <f t="shared" si="446"/>
        <v>0</v>
      </c>
      <c r="I507" s="25">
        <f t="shared" si="447"/>
        <v>0</v>
      </c>
      <c r="J507" s="25">
        <f t="shared" si="448"/>
        <v>0</v>
      </c>
      <c r="K507" s="26" t="s">
        <v>53</v>
      </c>
      <c r="Z507" s="25">
        <f t="shared" si="449"/>
        <v>0</v>
      </c>
      <c r="AB507" s="25">
        <f t="shared" si="450"/>
        <v>0</v>
      </c>
      <c r="AC507" s="25">
        <f t="shared" si="451"/>
        <v>0</v>
      </c>
      <c r="AD507" s="25">
        <f t="shared" si="452"/>
        <v>0</v>
      </c>
      <c r="AE507" s="25">
        <f t="shared" si="453"/>
        <v>0</v>
      </c>
      <c r="AF507" s="25">
        <f t="shared" si="454"/>
        <v>0</v>
      </c>
      <c r="AG507" s="25">
        <f t="shared" si="455"/>
        <v>0</v>
      </c>
      <c r="AH507" s="25">
        <f t="shared" si="456"/>
        <v>0</v>
      </c>
      <c r="AI507" s="11" t="s">
        <v>46</v>
      </c>
      <c r="AJ507" s="25">
        <f t="shared" si="457"/>
        <v>0</v>
      </c>
      <c r="AK507" s="25">
        <f t="shared" si="458"/>
        <v>0</v>
      </c>
      <c r="AL507" s="25">
        <f t="shared" si="459"/>
        <v>0</v>
      </c>
      <c r="AN507" s="25">
        <v>21</v>
      </c>
      <c r="AO507" s="25">
        <f>G507*0</f>
        <v>0</v>
      </c>
      <c r="AP507" s="25">
        <f>G507*(1-0)</f>
        <v>0</v>
      </c>
      <c r="AQ507" s="27" t="s">
        <v>76</v>
      </c>
      <c r="AV507" s="25">
        <f t="shared" si="460"/>
        <v>0</v>
      </c>
      <c r="AW507" s="25">
        <f t="shared" si="461"/>
        <v>0</v>
      </c>
      <c r="AX507" s="25">
        <f t="shared" si="462"/>
        <v>0</v>
      </c>
      <c r="AY507" s="27" t="s">
        <v>1453</v>
      </c>
      <c r="AZ507" s="27" t="s">
        <v>1426</v>
      </c>
      <c r="BA507" s="11" t="s">
        <v>56</v>
      </c>
      <c r="BC507" s="25">
        <f t="shared" si="463"/>
        <v>0</v>
      </c>
      <c r="BD507" s="25">
        <f t="shared" si="464"/>
        <v>0</v>
      </c>
      <c r="BE507" s="25">
        <v>0</v>
      </c>
      <c r="BF507" s="25">
        <f>507</f>
        <v>507</v>
      </c>
      <c r="BH507" s="25">
        <f t="shared" si="465"/>
        <v>0</v>
      </c>
      <c r="BI507" s="25">
        <f t="shared" si="466"/>
        <v>0</v>
      </c>
      <c r="BJ507" s="25">
        <f t="shared" si="467"/>
        <v>0</v>
      </c>
      <c r="BK507" s="27" t="s">
        <v>57</v>
      </c>
      <c r="BL507" s="25">
        <v>766</v>
      </c>
      <c r="BW507" s="25">
        <v>21</v>
      </c>
      <c r="BX507" s="5" t="s">
        <v>1531</v>
      </c>
    </row>
    <row r="508" spans="1:76" x14ac:dyDescent="0.25">
      <c r="A508" s="2" t="s">
        <v>1532</v>
      </c>
      <c r="B508" s="3" t="s">
        <v>1533</v>
      </c>
      <c r="C508" s="93" t="s">
        <v>1534</v>
      </c>
      <c r="D508" s="94"/>
      <c r="E508" s="3" t="s">
        <v>52</v>
      </c>
      <c r="F508" s="25">
        <v>33</v>
      </c>
      <c r="G508" s="25">
        <v>0</v>
      </c>
      <c r="H508" s="25">
        <f t="shared" si="446"/>
        <v>0</v>
      </c>
      <c r="I508" s="25">
        <f t="shared" si="447"/>
        <v>0</v>
      </c>
      <c r="J508" s="25">
        <f t="shared" si="448"/>
        <v>0</v>
      </c>
      <c r="K508" s="26" t="s">
        <v>53</v>
      </c>
      <c r="Z508" s="25">
        <f t="shared" si="449"/>
        <v>0</v>
      </c>
      <c r="AB508" s="25">
        <f t="shared" si="450"/>
        <v>0</v>
      </c>
      <c r="AC508" s="25">
        <f t="shared" si="451"/>
        <v>0</v>
      </c>
      <c r="AD508" s="25">
        <f t="shared" si="452"/>
        <v>0</v>
      </c>
      <c r="AE508" s="25">
        <f t="shared" si="453"/>
        <v>0</v>
      </c>
      <c r="AF508" s="25">
        <f t="shared" si="454"/>
        <v>0</v>
      </c>
      <c r="AG508" s="25">
        <f t="shared" si="455"/>
        <v>0</v>
      </c>
      <c r="AH508" s="25">
        <f t="shared" si="456"/>
        <v>0</v>
      </c>
      <c r="AI508" s="11" t="s">
        <v>46</v>
      </c>
      <c r="AJ508" s="25">
        <f t="shared" si="457"/>
        <v>0</v>
      </c>
      <c r="AK508" s="25">
        <f t="shared" si="458"/>
        <v>0</v>
      </c>
      <c r="AL508" s="25">
        <f t="shared" si="459"/>
        <v>0</v>
      </c>
      <c r="AN508" s="25">
        <v>21</v>
      </c>
      <c r="AO508" s="25">
        <f>G508*0</f>
        <v>0</v>
      </c>
      <c r="AP508" s="25">
        <f>G508*(1-0)</f>
        <v>0</v>
      </c>
      <c r="AQ508" s="27" t="s">
        <v>76</v>
      </c>
      <c r="AV508" s="25">
        <f t="shared" si="460"/>
        <v>0</v>
      </c>
      <c r="AW508" s="25">
        <f t="shared" si="461"/>
        <v>0</v>
      </c>
      <c r="AX508" s="25">
        <f t="shared" si="462"/>
        <v>0</v>
      </c>
      <c r="AY508" s="27" t="s">
        <v>1453</v>
      </c>
      <c r="AZ508" s="27" t="s">
        <v>1426</v>
      </c>
      <c r="BA508" s="11" t="s">
        <v>56</v>
      </c>
      <c r="BC508" s="25">
        <f t="shared" si="463"/>
        <v>0</v>
      </c>
      <c r="BD508" s="25">
        <f t="shared" si="464"/>
        <v>0</v>
      </c>
      <c r="BE508" s="25">
        <v>0</v>
      </c>
      <c r="BF508" s="25">
        <f>508</f>
        <v>508</v>
      </c>
      <c r="BH508" s="25">
        <f t="shared" si="465"/>
        <v>0</v>
      </c>
      <c r="BI508" s="25">
        <f t="shared" si="466"/>
        <v>0</v>
      </c>
      <c r="BJ508" s="25">
        <f t="shared" si="467"/>
        <v>0</v>
      </c>
      <c r="BK508" s="27" t="s">
        <v>57</v>
      </c>
      <c r="BL508" s="25">
        <v>766</v>
      </c>
      <c r="BW508" s="25">
        <v>21</v>
      </c>
      <c r="BX508" s="5" t="s">
        <v>1534</v>
      </c>
    </row>
    <row r="509" spans="1:76" ht="25.5" x14ac:dyDescent="0.25">
      <c r="A509" s="2" t="s">
        <v>1535</v>
      </c>
      <c r="B509" s="3" t="s">
        <v>1536</v>
      </c>
      <c r="C509" s="93" t="s">
        <v>1537</v>
      </c>
      <c r="D509" s="94"/>
      <c r="E509" s="3" t="s">
        <v>52</v>
      </c>
      <c r="F509" s="25">
        <v>1</v>
      </c>
      <c r="G509" s="25">
        <v>0</v>
      </c>
      <c r="H509" s="25">
        <f t="shared" si="446"/>
        <v>0</v>
      </c>
      <c r="I509" s="25">
        <f t="shared" si="447"/>
        <v>0</v>
      </c>
      <c r="J509" s="25">
        <f t="shared" si="448"/>
        <v>0</v>
      </c>
      <c r="K509" s="26" t="s">
        <v>53</v>
      </c>
      <c r="Z509" s="25">
        <f t="shared" si="449"/>
        <v>0</v>
      </c>
      <c r="AB509" s="25">
        <f t="shared" si="450"/>
        <v>0</v>
      </c>
      <c r="AC509" s="25">
        <f t="shared" si="451"/>
        <v>0</v>
      </c>
      <c r="AD509" s="25">
        <f t="shared" si="452"/>
        <v>0</v>
      </c>
      <c r="AE509" s="25">
        <f t="shared" si="453"/>
        <v>0</v>
      </c>
      <c r="AF509" s="25">
        <f t="shared" si="454"/>
        <v>0</v>
      </c>
      <c r="AG509" s="25">
        <f t="shared" si="455"/>
        <v>0</v>
      </c>
      <c r="AH509" s="25">
        <f t="shared" si="456"/>
        <v>0</v>
      </c>
      <c r="AI509" s="11" t="s">
        <v>46</v>
      </c>
      <c r="AJ509" s="25">
        <f t="shared" si="457"/>
        <v>0</v>
      </c>
      <c r="AK509" s="25">
        <f t="shared" si="458"/>
        <v>0</v>
      </c>
      <c r="AL509" s="25">
        <f t="shared" si="459"/>
        <v>0</v>
      </c>
      <c r="AN509" s="25">
        <v>21</v>
      </c>
      <c r="AO509" s="25">
        <f>G509*0</f>
        <v>0</v>
      </c>
      <c r="AP509" s="25">
        <f>G509*(1-0)</f>
        <v>0</v>
      </c>
      <c r="AQ509" s="27" t="s">
        <v>76</v>
      </c>
      <c r="AV509" s="25">
        <f t="shared" si="460"/>
        <v>0</v>
      </c>
      <c r="AW509" s="25">
        <f t="shared" si="461"/>
        <v>0</v>
      </c>
      <c r="AX509" s="25">
        <f t="shared" si="462"/>
        <v>0</v>
      </c>
      <c r="AY509" s="27" t="s">
        <v>1453</v>
      </c>
      <c r="AZ509" s="27" t="s">
        <v>1426</v>
      </c>
      <c r="BA509" s="11" t="s">
        <v>56</v>
      </c>
      <c r="BC509" s="25">
        <f t="shared" si="463"/>
        <v>0</v>
      </c>
      <c r="BD509" s="25">
        <f t="shared" si="464"/>
        <v>0</v>
      </c>
      <c r="BE509" s="25">
        <v>0</v>
      </c>
      <c r="BF509" s="25">
        <f>509</f>
        <v>509</v>
      </c>
      <c r="BH509" s="25">
        <f t="shared" si="465"/>
        <v>0</v>
      </c>
      <c r="BI509" s="25">
        <f t="shared" si="466"/>
        <v>0</v>
      </c>
      <c r="BJ509" s="25">
        <f t="shared" si="467"/>
        <v>0</v>
      </c>
      <c r="BK509" s="27" t="s">
        <v>57</v>
      </c>
      <c r="BL509" s="25">
        <v>766</v>
      </c>
      <c r="BW509" s="25">
        <v>21</v>
      </c>
      <c r="BX509" s="5" t="s">
        <v>1537</v>
      </c>
    </row>
    <row r="510" spans="1:76" x14ac:dyDescent="0.25">
      <c r="A510" s="2" t="s">
        <v>1538</v>
      </c>
      <c r="B510" s="3" t="s">
        <v>1539</v>
      </c>
      <c r="C510" s="93" t="s">
        <v>1540</v>
      </c>
      <c r="D510" s="94"/>
      <c r="E510" s="3" t="s">
        <v>71</v>
      </c>
      <c r="F510" s="25">
        <v>2.7589999999999999</v>
      </c>
      <c r="G510" s="25">
        <v>0</v>
      </c>
      <c r="H510" s="25">
        <f t="shared" si="446"/>
        <v>0</v>
      </c>
      <c r="I510" s="25">
        <f t="shared" si="447"/>
        <v>0</v>
      </c>
      <c r="J510" s="25">
        <f t="shared" si="448"/>
        <v>0</v>
      </c>
      <c r="K510" s="26" t="s">
        <v>53</v>
      </c>
      <c r="Z510" s="25">
        <f t="shared" si="449"/>
        <v>0</v>
      </c>
      <c r="AB510" s="25">
        <f t="shared" si="450"/>
        <v>0</v>
      </c>
      <c r="AC510" s="25">
        <f t="shared" si="451"/>
        <v>0</v>
      </c>
      <c r="AD510" s="25">
        <f t="shared" si="452"/>
        <v>0</v>
      </c>
      <c r="AE510" s="25">
        <f t="shared" si="453"/>
        <v>0</v>
      </c>
      <c r="AF510" s="25">
        <f t="shared" si="454"/>
        <v>0</v>
      </c>
      <c r="AG510" s="25">
        <f t="shared" si="455"/>
        <v>0</v>
      </c>
      <c r="AH510" s="25">
        <f t="shared" si="456"/>
        <v>0</v>
      </c>
      <c r="AI510" s="11" t="s">
        <v>46</v>
      </c>
      <c r="AJ510" s="25">
        <f t="shared" si="457"/>
        <v>0</v>
      </c>
      <c r="AK510" s="25">
        <f t="shared" si="458"/>
        <v>0</v>
      </c>
      <c r="AL510" s="25">
        <f t="shared" si="459"/>
        <v>0</v>
      </c>
      <c r="AN510" s="25">
        <v>21</v>
      </c>
      <c r="AO510" s="25">
        <f>G510*0</f>
        <v>0</v>
      </c>
      <c r="AP510" s="25">
        <f>G510*(1-0)</f>
        <v>0</v>
      </c>
      <c r="AQ510" s="27" t="s">
        <v>68</v>
      </c>
      <c r="AV510" s="25">
        <f t="shared" si="460"/>
        <v>0</v>
      </c>
      <c r="AW510" s="25">
        <f t="shared" si="461"/>
        <v>0</v>
      </c>
      <c r="AX510" s="25">
        <f t="shared" si="462"/>
        <v>0</v>
      </c>
      <c r="AY510" s="27" t="s">
        <v>1453</v>
      </c>
      <c r="AZ510" s="27" t="s">
        <v>1426</v>
      </c>
      <c r="BA510" s="11" t="s">
        <v>56</v>
      </c>
      <c r="BC510" s="25">
        <f t="shared" si="463"/>
        <v>0</v>
      </c>
      <c r="BD510" s="25">
        <f t="shared" si="464"/>
        <v>0</v>
      </c>
      <c r="BE510" s="25">
        <v>0</v>
      </c>
      <c r="BF510" s="25">
        <f>510</f>
        <v>510</v>
      </c>
      <c r="BH510" s="25">
        <f t="shared" si="465"/>
        <v>0</v>
      </c>
      <c r="BI510" s="25">
        <f t="shared" si="466"/>
        <v>0</v>
      </c>
      <c r="BJ510" s="25">
        <f t="shared" si="467"/>
        <v>0</v>
      </c>
      <c r="BK510" s="27" t="s">
        <v>57</v>
      </c>
      <c r="BL510" s="25">
        <v>766</v>
      </c>
      <c r="BW510" s="25">
        <v>21</v>
      </c>
      <c r="BX510" s="5" t="s">
        <v>1540</v>
      </c>
    </row>
    <row r="511" spans="1:76" x14ac:dyDescent="0.25">
      <c r="A511" s="28" t="s">
        <v>46</v>
      </c>
      <c r="B511" s="29" t="s">
        <v>1541</v>
      </c>
      <c r="C511" s="150" t="s">
        <v>1542</v>
      </c>
      <c r="D511" s="151"/>
      <c r="E511" s="30" t="s">
        <v>4</v>
      </c>
      <c r="F511" s="30" t="s">
        <v>4</v>
      </c>
      <c r="G511" s="30" t="s">
        <v>4</v>
      </c>
      <c r="H511" s="1">
        <f>ROUND(SUM(H512:H545),1)</f>
        <v>0</v>
      </c>
      <c r="I511" s="1">
        <f>ROUND(SUM(I512:I545),1)</f>
        <v>0</v>
      </c>
      <c r="J511" s="1">
        <f>ROUND(SUM(J512:J545),1)</f>
        <v>0</v>
      </c>
      <c r="K511" s="31" t="s">
        <v>46</v>
      </c>
      <c r="AI511" s="11" t="s">
        <v>46</v>
      </c>
      <c r="AS511" s="1">
        <f>SUM(AJ512:AJ545)</f>
        <v>0</v>
      </c>
      <c r="AT511" s="1">
        <f>SUM(AK512:AK545)</f>
        <v>0</v>
      </c>
      <c r="AU511" s="1">
        <f>SUM(AL512:AL545)</f>
        <v>0</v>
      </c>
    </row>
    <row r="512" spans="1:76" x14ac:dyDescent="0.25">
      <c r="A512" s="2" t="s">
        <v>1543</v>
      </c>
      <c r="B512" s="3" t="s">
        <v>1544</v>
      </c>
      <c r="C512" s="93" t="s">
        <v>1545</v>
      </c>
      <c r="D512" s="94"/>
      <c r="E512" s="3" t="s">
        <v>93</v>
      </c>
      <c r="F512" s="25">
        <v>32</v>
      </c>
      <c r="G512" s="25">
        <v>0</v>
      </c>
      <c r="H512" s="25">
        <f t="shared" ref="H512:H545" si="470">ROUND(F512*AO512,2)</f>
        <v>0</v>
      </c>
      <c r="I512" s="25">
        <f t="shared" ref="I512:I545" si="471">ROUND(F512*AP512,2)</f>
        <v>0</v>
      </c>
      <c r="J512" s="25">
        <f t="shared" ref="J512:J545" si="472">ROUND(F512*G512,1)</f>
        <v>0</v>
      </c>
      <c r="K512" s="26" t="s">
        <v>53</v>
      </c>
      <c r="Z512" s="25">
        <f t="shared" ref="Z512:Z545" si="473">ROUND(IF(AQ512="5",BJ512,0),2)</f>
        <v>0</v>
      </c>
      <c r="AB512" s="25">
        <f t="shared" ref="AB512:AB545" si="474">ROUND(IF(AQ512="1",BH512,0),2)</f>
        <v>0</v>
      </c>
      <c r="AC512" s="25">
        <f t="shared" ref="AC512:AC545" si="475">ROUND(IF(AQ512="1",BI512,0),2)</f>
        <v>0</v>
      </c>
      <c r="AD512" s="25">
        <f t="shared" ref="AD512:AD545" si="476">ROUND(IF(AQ512="7",BH512,0),2)</f>
        <v>0</v>
      </c>
      <c r="AE512" s="25">
        <f t="shared" ref="AE512:AE545" si="477">ROUND(IF(AQ512="7",BI512,0),2)</f>
        <v>0</v>
      </c>
      <c r="AF512" s="25">
        <f t="shared" ref="AF512:AF545" si="478">ROUND(IF(AQ512="2",BH512,0),2)</f>
        <v>0</v>
      </c>
      <c r="AG512" s="25">
        <f t="shared" ref="AG512:AG545" si="479">ROUND(IF(AQ512="2",BI512,0),2)</f>
        <v>0</v>
      </c>
      <c r="AH512" s="25">
        <f t="shared" ref="AH512:AH545" si="480">ROUND(IF(AQ512="0",BJ512,0),2)</f>
        <v>0</v>
      </c>
      <c r="AI512" s="11" t="s">
        <v>46</v>
      </c>
      <c r="AJ512" s="25">
        <f t="shared" ref="AJ512:AJ545" si="481">IF(AN512=0,J512,0)</f>
        <v>0</v>
      </c>
      <c r="AK512" s="25">
        <f t="shared" ref="AK512:AK545" si="482">IF(AN512=12,J512,0)</f>
        <v>0</v>
      </c>
      <c r="AL512" s="25">
        <f t="shared" ref="AL512:AL545" si="483">IF(AN512=21,J512,0)</f>
        <v>0</v>
      </c>
      <c r="AN512" s="25">
        <v>21</v>
      </c>
      <c r="AO512" s="25">
        <f>G512*0</f>
        <v>0</v>
      </c>
      <c r="AP512" s="25">
        <f>G512*(1-0)</f>
        <v>0</v>
      </c>
      <c r="AQ512" s="27" t="s">
        <v>76</v>
      </c>
      <c r="AV512" s="25">
        <f t="shared" ref="AV512:AV545" si="484">ROUND(AW512+AX512,2)</f>
        <v>0</v>
      </c>
      <c r="AW512" s="25">
        <f t="shared" ref="AW512:AW545" si="485">ROUND(F512*AO512,2)</f>
        <v>0</v>
      </c>
      <c r="AX512" s="25">
        <f t="shared" ref="AX512:AX545" si="486">ROUND(F512*AP512,2)</f>
        <v>0</v>
      </c>
      <c r="AY512" s="27" t="s">
        <v>1546</v>
      </c>
      <c r="AZ512" s="27" t="s">
        <v>1426</v>
      </c>
      <c r="BA512" s="11" t="s">
        <v>56</v>
      </c>
      <c r="BC512" s="25">
        <f t="shared" ref="BC512:BC545" si="487">AW512+AX512</f>
        <v>0</v>
      </c>
      <c r="BD512" s="25">
        <f t="shared" ref="BD512:BD545" si="488">G512/(100-BE512)*100</f>
        <v>0</v>
      </c>
      <c r="BE512" s="25">
        <v>0</v>
      </c>
      <c r="BF512" s="25">
        <f>512</f>
        <v>512</v>
      </c>
      <c r="BH512" s="25">
        <f t="shared" ref="BH512:BH545" si="489">F512*AO512</f>
        <v>0</v>
      </c>
      <c r="BI512" s="25">
        <f t="shared" ref="BI512:BI545" si="490">F512*AP512</f>
        <v>0</v>
      </c>
      <c r="BJ512" s="25">
        <f t="shared" ref="BJ512:BJ545" si="491">F512*G512</f>
        <v>0</v>
      </c>
      <c r="BK512" s="27" t="s">
        <v>57</v>
      </c>
      <c r="BL512" s="25">
        <v>767</v>
      </c>
      <c r="BW512" s="25">
        <v>21</v>
      </c>
      <c r="BX512" s="5" t="s">
        <v>1545</v>
      </c>
    </row>
    <row r="513" spans="1:76" x14ac:dyDescent="0.25">
      <c r="A513" s="2" t="s">
        <v>1547</v>
      </c>
      <c r="B513" s="3" t="s">
        <v>1548</v>
      </c>
      <c r="C513" s="93" t="s">
        <v>1549</v>
      </c>
      <c r="D513" s="94"/>
      <c r="E513" s="3" t="s">
        <v>93</v>
      </c>
      <c r="F513" s="25">
        <v>88.84</v>
      </c>
      <c r="G513" s="25">
        <v>0</v>
      </c>
      <c r="H513" s="25">
        <f t="shared" si="470"/>
        <v>0</v>
      </c>
      <c r="I513" s="25">
        <f t="shared" si="471"/>
        <v>0</v>
      </c>
      <c r="J513" s="25">
        <f t="shared" si="472"/>
        <v>0</v>
      </c>
      <c r="K513" s="26" t="s">
        <v>53</v>
      </c>
      <c r="Z513" s="25">
        <f t="shared" si="473"/>
        <v>0</v>
      </c>
      <c r="AB513" s="25">
        <f t="shared" si="474"/>
        <v>0</v>
      </c>
      <c r="AC513" s="25">
        <f t="shared" si="475"/>
        <v>0</v>
      </c>
      <c r="AD513" s="25">
        <f t="shared" si="476"/>
        <v>0</v>
      </c>
      <c r="AE513" s="25">
        <f t="shared" si="477"/>
        <v>0</v>
      </c>
      <c r="AF513" s="25">
        <f t="shared" si="478"/>
        <v>0</v>
      </c>
      <c r="AG513" s="25">
        <f t="shared" si="479"/>
        <v>0</v>
      </c>
      <c r="AH513" s="25">
        <f t="shared" si="480"/>
        <v>0</v>
      </c>
      <c r="AI513" s="11" t="s">
        <v>46</v>
      </c>
      <c r="AJ513" s="25">
        <f t="shared" si="481"/>
        <v>0</v>
      </c>
      <c r="AK513" s="25">
        <f t="shared" si="482"/>
        <v>0</v>
      </c>
      <c r="AL513" s="25">
        <f t="shared" si="483"/>
        <v>0</v>
      </c>
      <c r="AN513" s="25">
        <v>21</v>
      </c>
      <c r="AO513" s="25">
        <f>G513*0.636655718</f>
        <v>0</v>
      </c>
      <c r="AP513" s="25">
        <f>G513*(1-0.636655718)</f>
        <v>0</v>
      </c>
      <c r="AQ513" s="27" t="s">
        <v>76</v>
      </c>
      <c r="AV513" s="25">
        <f t="shared" si="484"/>
        <v>0</v>
      </c>
      <c r="AW513" s="25">
        <f t="shared" si="485"/>
        <v>0</v>
      </c>
      <c r="AX513" s="25">
        <f t="shared" si="486"/>
        <v>0</v>
      </c>
      <c r="AY513" s="27" t="s">
        <v>1546</v>
      </c>
      <c r="AZ513" s="27" t="s">
        <v>1426</v>
      </c>
      <c r="BA513" s="11" t="s">
        <v>56</v>
      </c>
      <c r="BC513" s="25">
        <f t="shared" si="487"/>
        <v>0</v>
      </c>
      <c r="BD513" s="25">
        <f t="shared" si="488"/>
        <v>0</v>
      </c>
      <c r="BE513" s="25">
        <v>0</v>
      </c>
      <c r="BF513" s="25">
        <f>513</f>
        <v>513</v>
      </c>
      <c r="BH513" s="25">
        <f t="shared" si="489"/>
        <v>0</v>
      </c>
      <c r="BI513" s="25">
        <f t="shared" si="490"/>
        <v>0</v>
      </c>
      <c r="BJ513" s="25">
        <f t="shared" si="491"/>
        <v>0</v>
      </c>
      <c r="BK513" s="27" t="s">
        <v>57</v>
      </c>
      <c r="BL513" s="25">
        <v>767</v>
      </c>
      <c r="BW513" s="25">
        <v>21</v>
      </c>
      <c r="BX513" s="5" t="s">
        <v>1549</v>
      </c>
    </row>
    <row r="514" spans="1:76" x14ac:dyDescent="0.25">
      <c r="A514" s="2" t="s">
        <v>1550</v>
      </c>
      <c r="B514" s="3" t="s">
        <v>1551</v>
      </c>
      <c r="C514" s="93" t="s">
        <v>1552</v>
      </c>
      <c r="D514" s="94"/>
      <c r="E514" s="3" t="s">
        <v>52</v>
      </c>
      <c r="F514" s="25">
        <v>72</v>
      </c>
      <c r="G514" s="25">
        <v>0</v>
      </c>
      <c r="H514" s="25">
        <f t="shared" si="470"/>
        <v>0</v>
      </c>
      <c r="I514" s="25">
        <f t="shared" si="471"/>
        <v>0</v>
      </c>
      <c r="J514" s="25">
        <f t="shared" si="472"/>
        <v>0</v>
      </c>
      <c r="K514" s="26" t="s">
        <v>53</v>
      </c>
      <c r="Z514" s="25">
        <f t="shared" si="473"/>
        <v>0</v>
      </c>
      <c r="AB514" s="25">
        <f t="shared" si="474"/>
        <v>0</v>
      </c>
      <c r="AC514" s="25">
        <f t="shared" si="475"/>
        <v>0</v>
      </c>
      <c r="AD514" s="25">
        <f t="shared" si="476"/>
        <v>0</v>
      </c>
      <c r="AE514" s="25">
        <f t="shared" si="477"/>
        <v>0</v>
      </c>
      <c r="AF514" s="25">
        <f t="shared" si="478"/>
        <v>0</v>
      </c>
      <c r="AG514" s="25">
        <f t="shared" si="479"/>
        <v>0</v>
      </c>
      <c r="AH514" s="25">
        <f t="shared" si="480"/>
        <v>0</v>
      </c>
      <c r="AI514" s="11" t="s">
        <v>46</v>
      </c>
      <c r="AJ514" s="25">
        <f t="shared" si="481"/>
        <v>0</v>
      </c>
      <c r="AK514" s="25">
        <f t="shared" si="482"/>
        <v>0</v>
      </c>
      <c r="AL514" s="25">
        <f t="shared" si="483"/>
        <v>0</v>
      </c>
      <c r="AN514" s="25">
        <v>21</v>
      </c>
      <c r="AO514" s="25">
        <f>G514*0.557732558</f>
        <v>0</v>
      </c>
      <c r="AP514" s="25">
        <f>G514*(1-0.557732558)</f>
        <v>0</v>
      </c>
      <c r="AQ514" s="27" t="s">
        <v>76</v>
      </c>
      <c r="AV514" s="25">
        <f t="shared" si="484"/>
        <v>0</v>
      </c>
      <c r="AW514" s="25">
        <f t="shared" si="485"/>
        <v>0</v>
      </c>
      <c r="AX514" s="25">
        <f t="shared" si="486"/>
        <v>0</v>
      </c>
      <c r="AY514" s="27" t="s">
        <v>1546</v>
      </c>
      <c r="AZ514" s="27" t="s">
        <v>1426</v>
      </c>
      <c r="BA514" s="11" t="s">
        <v>56</v>
      </c>
      <c r="BC514" s="25">
        <f t="shared" si="487"/>
        <v>0</v>
      </c>
      <c r="BD514" s="25">
        <f t="shared" si="488"/>
        <v>0</v>
      </c>
      <c r="BE514" s="25">
        <v>0</v>
      </c>
      <c r="BF514" s="25">
        <f>514</f>
        <v>514</v>
      </c>
      <c r="BH514" s="25">
        <f t="shared" si="489"/>
        <v>0</v>
      </c>
      <c r="BI514" s="25">
        <f t="shared" si="490"/>
        <v>0</v>
      </c>
      <c r="BJ514" s="25">
        <f t="shared" si="491"/>
        <v>0</v>
      </c>
      <c r="BK514" s="27" t="s">
        <v>57</v>
      </c>
      <c r="BL514" s="25">
        <v>767</v>
      </c>
      <c r="BW514" s="25">
        <v>21</v>
      </c>
      <c r="BX514" s="5" t="s">
        <v>1552</v>
      </c>
    </row>
    <row r="515" spans="1:76" x14ac:dyDescent="0.25">
      <c r="A515" s="2" t="s">
        <v>1553</v>
      </c>
      <c r="B515" s="3" t="s">
        <v>1554</v>
      </c>
      <c r="C515" s="93" t="s">
        <v>1555</v>
      </c>
      <c r="D515" s="94"/>
      <c r="E515" s="3" t="s">
        <v>52</v>
      </c>
      <c r="F515" s="25">
        <v>2</v>
      </c>
      <c r="G515" s="25">
        <v>0</v>
      </c>
      <c r="H515" s="25">
        <f t="shared" si="470"/>
        <v>0</v>
      </c>
      <c r="I515" s="25">
        <f t="shared" si="471"/>
        <v>0</v>
      </c>
      <c r="J515" s="25">
        <f t="shared" si="472"/>
        <v>0</v>
      </c>
      <c r="K515" s="26" t="s">
        <v>53</v>
      </c>
      <c r="Z515" s="25">
        <f t="shared" si="473"/>
        <v>0</v>
      </c>
      <c r="AB515" s="25">
        <f t="shared" si="474"/>
        <v>0</v>
      </c>
      <c r="AC515" s="25">
        <f t="shared" si="475"/>
        <v>0</v>
      </c>
      <c r="AD515" s="25">
        <f t="shared" si="476"/>
        <v>0</v>
      </c>
      <c r="AE515" s="25">
        <f t="shared" si="477"/>
        <v>0</v>
      </c>
      <c r="AF515" s="25">
        <f t="shared" si="478"/>
        <v>0</v>
      </c>
      <c r="AG515" s="25">
        <f t="shared" si="479"/>
        <v>0</v>
      </c>
      <c r="AH515" s="25">
        <f t="shared" si="480"/>
        <v>0</v>
      </c>
      <c r="AI515" s="11" t="s">
        <v>46</v>
      </c>
      <c r="AJ515" s="25">
        <f t="shared" si="481"/>
        <v>0</v>
      </c>
      <c r="AK515" s="25">
        <f t="shared" si="482"/>
        <v>0</v>
      </c>
      <c r="AL515" s="25">
        <f t="shared" si="483"/>
        <v>0</v>
      </c>
      <c r="AN515" s="25">
        <v>21</v>
      </c>
      <c r="AO515" s="25">
        <f>G515*0.82</f>
        <v>0</v>
      </c>
      <c r="AP515" s="25">
        <f>G515*(1-0.82)</f>
        <v>0</v>
      </c>
      <c r="AQ515" s="27" t="s">
        <v>76</v>
      </c>
      <c r="AV515" s="25">
        <f t="shared" si="484"/>
        <v>0</v>
      </c>
      <c r="AW515" s="25">
        <f t="shared" si="485"/>
        <v>0</v>
      </c>
      <c r="AX515" s="25">
        <f t="shared" si="486"/>
        <v>0</v>
      </c>
      <c r="AY515" s="27" t="s">
        <v>1546</v>
      </c>
      <c r="AZ515" s="27" t="s">
        <v>1426</v>
      </c>
      <c r="BA515" s="11" t="s">
        <v>56</v>
      </c>
      <c r="BC515" s="25">
        <f t="shared" si="487"/>
        <v>0</v>
      </c>
      <c r="BD515" s="25">
        <f t="shared" si="488"/>
        <v>0</v>
      </c>
      <c r="BE515" s="25">
        <v>0</v>
      </c>
      <c r="BF515" s="25">
        <f>515</f>
        <v>515</v>
      </c>
      <c r="BH515" s="25">
        <f t="shared" si="489"/>
        <v>0</v>
      </c>
      <c r="BI515" s="25">
        <f t="shared" si="490"/>
        <v>0</v>
      </c>
      <c r="BJ515" s="25">
        <f t="shared" si="491"/>
        <v>0</v>
      </c>
      <c r="BK515" s="27" t="s">
        <v>57</v>
      </c>
      <c r="BL515" s="25">
        <v>767</v>
      </c>
      <c r="BW515" s="25">
        <v>21</v>
      </c>
      <c r="BX515" s="5" t="s">
        <v>1555</v>
      </c>
    </row>
    <row r="516" spans="1:76" x14ac:dyDescent="0.25">
      <c r="A516" s="2" t="s">
        <v>1556</v>
      </c>
      <c r="B516" s="3" t="s">
        <v>1557</v>
      </c>
      <c r="C516" s="93" t="s">
        <v>1558</v>
      </c>
      <c r="D516" s="94"/>
      <c r="E516" s="3" t="s">
        <v>52</v>
      </c>
      <c r="F516" s="25">
        <v>3</v>
      </c>
      <c r="G516" s="25">
        <v>0</v>
      </c>
      <c r="H516" s="25">
        <f t="shared" si="470"/>
        <v>0</v>
      </c>
      <c r="I516" s="25">
        <f t="shared" si="471"/>
        <v>0</v>
      </c>
      <c r="J516" s="25">
        <f t="shared" si="472"/>
        <v>0</v>
      </c>
      <c r="K516" s="26" t="s">
        <v>53</v>
      </c>
      <c r="Z516" s="25">
        <f t="shared" si="473"/>
        <v>0</v>
      </c>
      <c r="AB516" s="25">
        <f t="shared" si="474"/>
        <v>0</v>
      </c>
      <c r="AC516" s="25">
        <f t="shared" si="475"/>
        <v>0</v>
      </c>
      <c r="AD516" s="25">
        <f t="shared" si="476"/>
        <v>0</v>
      </c>
      <c r="AE516" s="25">
        <f t="shared" si="477"/>
        <v>0</v>
      </c>
      <c r="AF516" s="25">
        <f t="shared" si="478"/>
        <v>0</v>
      </c>
      <c r="AG516" s="25">
        <f t="shared" si="479"/>
        <v>0</v>
      </c>
      <c r="AH516" s="25">
        <f t="shared" si="480"/>
        <v>0</v>
      </c>
      <c r="AI516" s="11" t="s">
        <v>46</v>
      </c>
      <c r="AJ516" s="25">
        <f t="shared" si="481"/>
        <v>0</v>
      </c>
      <c r="AK516" s="25">
        <f t="shared" si="482"/>
        <v>0</v>
      </c>
      <c r="AL516" s="25">
        <f t="shared" si="483"/>
        <v>0</v>
      </c>
      <c r="AN516" s="25">
        <v>21</v>
      </c>
      <c r="AO516" s="25">
        <f>G516*0.82</f>
        <v>0</v>
      </c>
      <c r="AP516" s="25">
        <f>G516*(1-0.82)</f>
        <v>0</v>
      </c>
      <c r="AQ516" s="27" t="s">
        <v>76</v>
      </c>
      <c r="AV516" s="25">
        <f t="shared" si="484"/>
        <v>0</v>
      </c>
      <c r="AW516" s="25">
        <f t="shared" si="485"/>
        <v>0</v>
      </c>
      <c r="AX516" s="25">
        <f t="shared" si="486"/>
        <v>0</v>
      </c>
      <c r="AY516" s="27" t="s">
        <v>1546</v>
      </c>
      <c r="AZ516" s="27" t="s">
        <v>1426</v>
      </c>
      <c r="BA516" s="11" t="s">
        <v>56</v>
      </c>
      <c r="BC516" s="25">
        <f t="shared" si="487"/>
        <v>0</v>
      </c>
      <c r="BD516" s="25">
        <f t="shared" si="488"/>
        <v>0</v>
      </c>
      <c r="BE516" s="25">
        <v>0</v>
      </c>
      <c r="BF516" s="25">
        <f>516</f>
        <v>516</v>
      </c>
      <c r="BH516" s="25">
        <f t="shared" si="489"/>
        <v>0</v>
      </c>
      <c r="BI516" s="25">
        <f t="shared" si="490"/>
        <v>0</v>
      </c>
      <c r="BJ516" s="25">
        <f t="shared" si="491"/>
        <v>0</v>
      </c>
      <c r="BK516" s="27" t="s">
        <v>57</v>
      </c>
      <c r="BL516" s="25">
        <v>767</v>
      </c>
      <c r="BW516" s="25">
        <v>21</v>
      </c>
      <c r="BX516" s="5" t="s">
        <v>1558</v>
      </c>
    </row>
    <row r="517" spans="1:76" x14ac:dyDescent="0.25">
      <c r="A517" s="2" t="s">
        <v>1559</v>
      </c>
      <c r="B517" s="3" t="s">
        <v>1560</v>
      </c>
      <c r="C517" s="93" t="s">
        <v>1561</v>
      </c>
      <c r="D517" s="94"/>
      <c r="E517" s="3" t="s">
        <v>52</v>
      </c>
      <c r="F517" s="25">
        <v>1</v>
      </c>
      <c r="G517" s="25">
        <v>0</v>
      </c>
      <c r="H517" s="25">
        <f t="shared" si="470"/>
        <v>0</v>
      </c>
      <c r="I517" s="25">
        <f t="shared" si="471"/>
        <v>0</v>
      </c>
      <c r="J517" s="25">
        <f t="shared" si="472"/>
        <v>0</v>
      </c>
      <c r="K517" s="26" t="s">
        <v>53</v>
      </c>
      <c r="Z517" s="25">
        <f t="shared" si="473"/>
        <v>0</v>
      </c>
      <c r="AB517" s="25">
        <f t="shared" si="474"/>
        <v>0</v>
      </c>
      <c r="AC517" s="25">
        <f t="shared" si="475"/>
        <v>0</v>
      </c>
      <c r="AD517" s="25">
        <f t="shared" si="476"/>
        <v>0</v>
      </c>
      <c r="AE517" s="25">
        <f t="shared" si="477"/>
        <v>0</v>
      </c>
      <c r="AF517" s="25">
        <f t="shared" si="478"/>
        <v>0</v>
      </c>
      <c r="AG517" s="25">
        <f t="shared" si="479"/>
        <v>0</v>
      </c>
      <c r="AH517" s="25">
        <f t="shared" si="480"/>
        <v>0</v>
      </c>
      <c r="AI517" s="11" t="s">
        <v>46</v>
      </c>
      <c r="AJ517" s="25">
        <f t="shared" si="481"/>
        <v>0</v>
      </c>
      <c r="AK517" s="25">
        <f t="shared" si="482"/>
        <v>0</v>
      </c>
      <c r="AL517" s="25">
        <f t="shared" si="483"/>
        <v>0</v>
      </c>
      <c r="AN517" s="25">
        <v>21</v>
      </c>
      <c r="AO517" s="25">
        <f>G517*0.82</f>
        <v>0</v>
      </c>
      <c r="AP517" s="25">
        <f>G517*(1-0.82)</f>
        <v>0</v>
      </c>
      <c r="AQ517" s="27" t="s">
        <v>76</v>
      </c>
      <c r="AV517" s="25">
        <f t="shared" si="484"/>
        <v>0</v>
      </c>
      <c r="AW517" s="25">
        <f t="shared" si="485"/>
        <v>0</v>
      </c>
      <c r="AX517" s="25">
        <f t="shared" si="486"/>
        <v>0</v>
      </c>
      <c r="AY517" s="27" t="s">
        <v>1546</v>
      </c>
      <c r="AZ517" s="27" t="s">
        <v>1426</v>
      </c>
      <c r="BA517" s="11" t="s">
        <v>56</v>
      </c>
      <c r="BC517" s="25">
        <f t="shared" si="487"/>
        <v>0</v>
      </c>
      <c r="BD517" s="25">
        <f t="shared" si="488"/>
        <v>0</v>
      </c>
      <c r="BE517" s="25">
        <v>0</v>
      </c>
      <c r="BF517" s="25">
        <f>517</f>
        <v>517</v>
      </c>
      <c r="BH517" s="25">
        <f t="shared" si="489"/>
        <v>0</v>
      </c>
      <c r="BI517" s="25">
        <f t="shared" si="490"/>
        <v>0</v>
      </c>
      <c r="BJ517" s="25">
        <f t="shared" si="491"/>
        <v>0</v>
      </c>
      <c r="BK517" s="27" t="s">
        <v>57</v>
      </c>
      <c r="BL517" s="25">
        <v>767</v>
      </c>
      <c r="BW517" s="25">
        <v>21</v>
      </c>
      <c r="BX517" s="5" t="s">
        <v>1561</v>
      </c>
    </row>
    <row r="518" spans="1:76" x14ac:dyDescent="0.25">
      <c r="A518" s="2" t="s">
        <v>1562</v>
      </c>
      <c r="B518" s="3" t="s">
        <v>1563</v>
      </c>
      <c r="C518" s="93" t="s">
        <v>1564</v>
      </c>
      <c r="D518" s="94"/>
      <c r="E518" s="3" t="s">
        <v>52</v>
      </c>
      <c r="F518" s="25">
        <v>1</v>
      </c>
      <c r="G518" s="25">
        <v>0</v>
      </c>
      <c r="H518" s="25">
        <f t="shared" si="470"/>
        <v>0</v>
      </c>
      <c r="I518" s="25">
        <f t="shared" si="471"/>
        <v>0</v>
      </c>
      <c r="J518" s="25">
        <f t="shared" si="472"/>
        <v>0</v>
      </c>
      <c r="K518" s="26" t="s">
        <v>53</v>
      </c>
      <c r="Z518" s="25">
        <f t="shared" si="473"/>
        <v>0</v>
      </c>
      <c r="AB518" s="25">
        <f t="shared" si="474"/>
        <v>0</v>
      </c>
      <c r="AC518" s="25">
        <f t="shared" si="475"/>
        <v>0</v>
      </c>
      <c r="AD518" s="25">
        <f t="shared" si="476"/>
        <v>0</v>
      </c>
      <c r="AE518" s="25">
        <f t="shared" si="477"/>
        <v>0</v>
      </c>
      <c r="AF518" s="25">
        <f t="shared" si="478"/>
        <v>0</v>
      </c>
      <c r="AG518" s="25">
        <f t="shared" si="479"/>
        <v>0</v>
      </c>
      <c r="AH518" s="25">
        <f t="shared" si="480"/>
        <v>0</v>
      </c>
      <c r="AI518" s="11" t="s">
        <v>46</v>
      </c>
      <c r="AJ518" s="25">
        <f t="shared" si="481"/>
        <v>0</v>
      </c>
      <c r="AK518" s="25">
        <f t="shared" si="482"/>
        <v>0</v>
      </c>
      <c r="AL518" s="25">
        <f t="shared" si="483"/>
        <v>0</v>
      </c>
      <c r="AN518" s="25">
        <v>21</v>
      </c>
      <c r="AO518" s="25">
        <f>G518*0.82</f>
        <v>0</v>
      </c>
      <c r="AP518" s="25">
        <f>G518*(1-0.82)</f>
        <v>0</v>
      </c>
      <c r="AQ518" s="27" t="s">
        <v>76</v>
      </c>
      <c r="AV518" s="25">
        <f t="shared" si="484"/>
        <v>0</v>
      </c>
      <c r="AW518" s="25">
        <f t="shared" si="485"/>
        <v>0</v>
      </c>
      <c r="AX518" s="25">
        <f t="shared" si="486"/>
        <v>0</v>
      </c>
      <c r="AY518" s="27" t="s">
        <v>1546</v>
      </c>
      <c r="AZ518" s="27" t="s">
        <v>1426</v>
      </c>
      <c r="BA518" s="11" t="s">
        <v>56</v>
      </c>
      <c r="BC518" s="25">
        <f t="shared" si="487"/>
        <v>0</v>
      </c>
      <c r="BD518" s="25">
        <f t="shared" si="488"/>
        <v>0</v>
      </c>
      <c r="BE518" s="25">
        <v>0</v>
      </c>
      <c r="BF518" s="25">
        <f>518</f>
        <v>518</v>
      </c>
      <c r="BH518" s="25">
        <f t="shared" si="489"/>
        <v>0</v>
      </c>
      <c r="BI518" s="25">
        <f t="shared" si="490"/>
        <v>0</v>
      </c>
      <c r="BJ518" s="25">
        <f t="shared" si="491"/>
        <v>0</v>
      </c>
      <c r="BK518" s="27" t="s">
        <v>57</v>
      </c>
      <c r="BL518" s="25">
        <v>767</v>
      </c>
      <c r="BW518" s="25">
        <v>21</v>
      </c>
      <c r="BX518" s="5" t="s">
        <v>1564</v>
      </c>
    </row>
    <row r="519" spans="1:76" x14ac:dyDescent="0.25">
      <c r="A519" s="2" t="s">
        <v>1565</v>
      </c>
      <c r="B519" s="3" t="s">
        <v>1566</v>
      </c>
      <c r="C519" s="93" t="s">
        <v>1567</v>
      </c>
      <c r="D519" s="94"/>
      <c r="E519" s="3" t="s">
        <v>52</v>
      </c>
      <c r="F519" s="25">
        <v>2</v>
      </c>
      <c r="G519" s="25">
        <v>0</v>
      </c>
      <c r="H519" s="25">
        <f t="shared" si="470"/>
        <v>0</v>
      </c>
      <c r="I519" s="25">
        <f t="shared" si="471"/>
        <v>0</v>
      </c>
      <c r="J519" s="25">
        <f t="shared" si="472"/>
        <v>0</v>
      </c>
      <c r="K519" s="26" t="s">
        <v>53</v>
      </c>
      <c r="Z519" s="25">
        <f t="shared" si="473"/>
        <v>0</v>
      </c>
      <c r="AB519" s="25">
        <f t="shared" si="474"/>
        <v>0</v>
      </c>
      <c r="AC519" s="25">
        <f t="shared" si="475"/>
        <v>0</v>
      </c>
      <c r="AD519" s="25">
        <f t="shared" si="476"/>
        <v>0</v>
      </c>
      <c r="AE519" s="25">
        <f t="shared" si="477"/>
        <v>0</v>
      </c>
      <c r="AF519" s="25">
        <f t="shared" si="478"/>
        <v>0</v>
      </c>
      <c r="AG519" s="25">
        <f t="shared" si="479"/>
        <v>0</v>
      </c>
      <c r="AH519" s="25">
        <f t="shared" si="480"/>
        <v>0</v>
      </c>
      <c r="AI519" s="11" t="s">
        <v>46</v>
      </c>
      <c r="AJ519" s="25">
        <f t="shared" si="481"/>
        <v>0</v>
      </c>
      <c r="AK519" s="25">
        <f t="shared" si="482"/>
        <v>0</v>
      </c>
      <c r="AL519" s="25">
        <f t="shared" si="483"/>
        <v>0</v>
      </c>
      <c r="AN519" s="25">
        <v>21</v>
      </c>
      <c r="AO519" s="25">
        <f>G519*0</f>
        <v>0</v>
      </c>
      <c r="AP519" s="25">
        <f>G519*(1-0)</f>
        <v>0</v>
      </c>
      <c r="AQ519" s="27" t="s">
        <v>76</v>
      </c>
      <c r="AV519" s="25">
        <f t="shared" si="484"/>
        <v>0</v>
      </c>
      <c r="AW519" s="25">
        <f t="shared" si="485"/>
        <v>0</v>
      </c>
      <c r="AX519" s="25">
        <f t="shared" si="486"/>
        <v>0</v>
      </c>
      <c r="AY519" s="27" t="s">
        <v>1546</v>
      </c>
      <c r="AZ519" s="27" t="s">
        <v>1426</v>
      </c>
      <c r="BA519" s="11" t="s">
        <v>56</v>
      </c>
      <c r="BC519" s="25">
        <f t="shared" si="487"/>
        <v>0</v>
      </c>
      <c r="BD519" s="25">
        <f t="shared" si="488"/>
        <v>0</v>
      </c>
      <c r="BE519" s="25">
        <v>0</v>
      </c>
      <c r="BF519" s="25">
        <f>519</f>
        <v>519</v>
      </c>
      <c r="BH519" s="25">
        <f t="shared" si="489"/>
        <v>0</v>
      </c>
      <c r="BI519" s="25">
        <f t="shared" si="490"/>
        <v>0</v>
      </c>
      <c r="BJ519" s="25">
        <f t="shared" si="491"/>
        <v>0</v>
      </c>
      <c r="BK519" s="27" t="s">
        <v>57</v>
      </c>
      <c r="BL519" s="25">
        <v>767</v>
      </c>
      <c r="BW519" s="25">
        <v>21</v>
      </c>
      <c r="BX519" s="5" t="s">
        <v>1567</v>
      </c>
    </row>
    <row r="520" spans="1:76" x14ac:dyDescent="0.25">
      <c r="A520" s="2" t="s">
        <v>1568</v>
      </c>
      <c r="B520" s="3" t="s">
        <v>1569</v>
      </c>
      <c r="C520" s="93" t="s">
        <v>1570</v>
      </c>
      <c r="D520" s="94"/>
      <c r="E520" s="3" t="s">
        <v>52</v>
      </c>
      <c r="F520" s="25">
        <v>1</v>
      </c>
      <c r="G520" s="25">
        <v>0</v>
      </c>
      <c r="H520" s="25">
        <f t="shared" si="470"/>
        <v>0</v>
      </c>
      <c r="I520" s="25">
        <f t="shared" si="471"/>
        <v>0</v>
      </c>
      <c r="J520" s="25">
        <f t="shared" si="472"/>
        <v>0</v>
      </c>
      <c r="K520" s="26" t="s">
        <v>53</v>
      </c>
      <c r="Z520" s="25">
        <f t="shared" si="473"/>
        <v>0</v>
      </c>
      <c r="AB520" s="25">
        <f t="shared" si="474"/>
        <v>0</v>
      </c>
      <c r="AC520" s="25">
        <f t="shared" si="475"/>
        <v>0</v>
      </c>
      <c r="AD520" s="25">
        <f t="shared" si="476"/>
        <v>0</v>
      </c>
      <c r="AE520" s="25">
        <f t="shared" si="477"/>
        <v>0</v>
      </c>
      <c r="AF520" s="25">
        <f t="shared" si="478"/>
        <v>0</v>
      </c>
      <c r="AG520" s="25">
        <f t="shared" si="479"/>
        <v>0</v>
      </c>
      <c r="AH520" s="25">
        <f t="shared" si="480"/>
        <v>0</v>
      </c>
      <c r="AI520" s="11" t="s">
        <v>46</v>
      </c>
      <c r="AJ520" s="25">
        <f t="shared" si="481"/>
        <v>0</v>
      </c>
      <c r="AK520" s="25">
        <f t="shared" si="482"/>
        <v>0</v>
      </c>
      <c r="AL520" s="25">
        <f t="shared" si="483"/>
        <v>0</v>
      </c>
      <c r="AN520" s="25">
        <v>21</v>
      </c>
      <c r="AO520" s="25">
        <f>G520*0</f>
        <v>0</v>
      </c>
      <c r="AP520" s="25">
        <f>G520*(1-0)</f>
        <v>0</v>
      </c>
      <c r="AQ520" s="27" t="s">
        <v>76</v>
      </c>
      <c r="AV520" s="25">
        <f t="shared" si="484"/>
        <v>0</v>
      </c>
      <c r="AW520" s="25">
        <f t="shared" si="485"/>
        <v>0</v>
      </c>
      <c r="AX520" s="25">
        <f t="shared" si="486"/>
        <v>0</v>
      </c>
      <c r="AY520" s="27" t="s">
        <v>1546</v>
      </c>
      <c r="AZ520" s="27" t="s">
        <v>1426</v>
      </c>
      <c r="BA520" s="11" t="s">
        <v>56</v>
      </c>
      <c r="BC520" s="25">
        <f t="shared" si="487"/>
        <v>0</v>
      </c>
      <c r="BD520" s="25">
        <f t="shared" si="488"/>
        <v>0</v>
      </c>
      <c r="BE520" s="25">
        <v>0</v>
      </c>
      <c r="BF520" s="25">
        <f>520</f>
        <v>520</v>
      </c>
      <c r="BH520" s="25">
        <f t="shared" si="489"/>
        <v>0</v>
      </c>
      <c r="BI520" s="25">
        <f t="shared" si="490"/>
        <v>0</v>
      </c>
      <c r="BJ520" s="25">
        <f t="shared" si="491"/>
        <v>0</v>
      </c>
      <c r="BK520" s="27" t="s">
        <v>57</v>
      </c>
      <c r="BL520" s="25">
        <v>767</v>
      </c>
      <c r="BW520" s="25">
        <v>21</v>
      </c>
      <c r="BX520" s="5" t="s">
        <v>1570</v>
      </c>
    </row>
    <row r="521" spans="1:76" x14ac:dyDescent="0.25">
      <c r="A521" s="2" t="s">
        <v>1571</v>
      </c>
      <c r="B521" s="3" t="s">
        <v>1572</v>
      </c>
      <c r="C521" s="93" t="s">
        <v>1573</v>
      </c>
      <c r="D521" s="94"/>
      <c r="E521" s="3" t="s">
        <v>52</v>
      </c>
      <c r="F521" s="25">
        <v>1</v>
      </c>
      <c r="G521" s="25">
        <v>0</v>
      </c>
      <c r="H521" s="25">
        <f t="shared" si="470"/>
        <v>0</v>
      </c>
      <c r="I521" s="25">
        <f t="shared" si="471"/>
        <v>0</v>
      </c>
      <c r="J521" s="25">
        <f t="shared" si="472"/>
        <v>0</v>
      </c>
      <c r="K521" s="26" t="s">
        <v>53</v>
      </c>
      <c r="Z521" s="25">
        <f t="shared" si="473"/>
        <v>0</v>
      </c>
      <c r="AB521" s="25">
        <f t="shared" si="474"/>
        <v>0</v>
      </c>
      <c r="AC521" s="25">
        <f t="shared" si="475"/>
        <v>0</v>
      </c>
      <c r="AD521" s="25">
        <f t="shared" si="476"/>
        <v>0</v>
      </c>
      <c r="AE521" s="25">
        <f t="shared" si="477"/>
        <v>0</v>
      </c>
      <c r="AF521" s="25">
        <f t="shared" si="478"/>
        <v>0</v>
      </c>
      <c r="AG521" s="25">
        <f t="shared" si="479"/>
        <v>0</v>
      </c>
      <c r="AH521" s="25">
        <f t="shared" si="480"/>
        <v>0</v>
      </c>
      <c r="AI521" s="11" t="s">
        <v>46</v>
      </c>
      <c r="AJ521" s="25">
        <f t="shared" si="481"/>
        <v>0</v>
      </c>
      <c r="AK521" s="25">
        <f t="shared" si="482"/>
        <v>0</v>
      </c>
      <c r="AL521" s="25">
        <f t="shared" si="483"/>
        <v>0</v>
      </c>
      <c r="AN521" s="25">
        <v>21</v>
      </c>
      <c r="AO521" s="25">
        <f>G521*0.82</f>
        <v>0</v>
      </c>
      <c r="AP521" s="25">
        <f>G521*(1-0.82)</f>
        <v>0</v>
      </c>
      <c r="AQ521" s="27" t="s">
        <v>76</v>
      </c>
      <c r="AV521" s="25">
        <f t="shared" si="484"/>
        <v>0</v>
      </c>
      <c r="AW521" s="25">
        <f t="shared" si="485"/>
        <v>0</v>
      </c>
      <c r="AX521" s="25">
        <f t="shared" si="486"/>
        <v>0</v>
      </c>
      <c r="AY521" s="27" t="s">
        <v>1546</v>
      </c>
      <c r="AZ521" s="27" t="s">
        <v>1426</v>
      </c>
      <c r="BA521" s="11" t="s">
        <v>56</v>
      </c>
      <c r="BC521" s="25">
        <f t="shared" si="487"/>
        <v>0</v>
      </c>
      <c r="BD521" s="25">
        <f t="shared" si="488"/>
        <v>0</v>
      </c>
      <c r="BE521" s="25">
        <v>0</v>
      </c>
      <c r="BF521" s="25">
        <f>521</f>
        <v>521</v>
      </c>
      <c r="BH521" s="25">
        <f t="shared" si="489"/>
        <v>0</v>
      </c>
      <c r="BI521" s="25">
        <f t="shared" si="490"/>
        <v>0</v>
      </c>
      <c r="BJ521" s="25">
        <f t="shared" si="491"/>
        <v>0</v>
      </c>
      <c r="BK521" s="27" t="s">
        <v>57</v>
      </c>
      <c r="BL521" s="25">
        <v>767</v>
      </c>
      <c r="BW521" s="25">
        <v>21</v>
      </c>
      <c r="BX521" s="5" t="s">
        <v>1573</v>
      </c>
    </row>
    <row r="522" spans="1:76" x14ac:dyDescent="0.25">
      <c r="A522" s="2" t="s">
        <v>1574</v>
      </c>
      <c r="B522" s="3" t="s">
        <v>1575</v>
      </c>
      <c r="C522" s="93" t="s">
        <v>1576</v>
      </c>
      <c r="D522" s="94"/>
      <c r="E522" s="3" t="s">
        <v>52</v>
      </c>
      <c r="F522" s="25">
        <v>4</v>
      </c>
      <c r="G522" s="25">
        <v>0</v>
      </c>
      <c r="H522" s="25">
        <f t="shared" si="470"/>
        <v>0</v>
      </c>
      <c r="I522" s="25">
        <f t="shared" si="471"/>
        <v>0</v>
      </c>
      <c r="J522" s="25">
        <f t="shared" si="472"/>
        <v>0</v>
      </c>
      <c r="K522" s="26" t="s">
        <v>53</v>
      </c>
      <c r="Z522" s="25">
        <f t="shared" si="473"/>
        <v>0</v>
      </c>
      <c r="AB522" s="25">
        <f t="shared" si="474"/>
        <v>0</v>
      </c>
      <c r="AC522" s="25">
        <f t="shared" si="475"/>
        <v>0</v>
      </c>
      <c r="AD522" s="25">
        <f t="shared" si="476"/>
        <v>0</v>
      </c>
      <c r="AE522" s="25">
        <f t="shared" si="477"/>
        <v>0</v>
      </c>
      <c r="AF522" s="25">
        <f t="shared" si="478"/>
        <v>0</v>
      </c>
      <c r="AG522" s="25">
        <f t="shared" si="479"/>
        <v>0</v>
      </c>
      <c r="AH522" s="25">
        <f t="shared" si="480"/>
        <v>0</v>
      </c>
      <c r="AI522" s="11" t="s">
        <v>46</v>
      </c>
      <c r="AJ522" s="25">
        <f t="shared" si="481"/>
        <v>0</v>
      </c>
      <c r="AK522" s="25">
        <f t="shared" si="482"/>
        <v>0</v>
      </c>
      <c r="AL522" s="25">
        <f t="shared" si="483"/>
        <v>0</v>
      </c>
      <c r="AN522" s="25">
        <v>21</v>
      </c>
      <c r="AO522" s="25">
        <f>G522*1</f>
        <v>0</v>
      </c>
      <c r="AP522" s="25">
        <f>G522*(1-1)</f>
        <v>0</v>
      </c>
      <c r="AQ522" s="27" t="s">
        <v>76</v>
      </c>
      <c r="AV522" s="25">
        <f t="shared" si="484"/>
        <v>0</v>
      </c>
      <c r="AW522" s="25">
        <f t="shared" si="485"/>
        <v>0</v>
      </c>
      <c r="AX522" s="25">
        <f t="shared" si="486"/>
        <v>0</v>
      </c>
      <c r="AY522" s="27" t="s">
        <v>1546</v>
      </c>
      <c r="AZ522" s="27" t="s">
        <v>1426</v>
      </c>
      <c r="BA522" s="11" t="s">
        <v>56</v>
      </c>
      <c r="BC522" s="25">
        <f t="shared" si="487"/>
        <v>0</v>
      </c>
      <c r="BD522" s="25">
        <f t="shared" si="488"/>
        <v>0</v>
      </c>
      <c r="BE522" s="25">
        <v>0</v>
      </c>
      <c r="BF522" s="25">
        <f>522</f>
        <v>522</v>
      </c>
      <c r="BH522" s="25">
        <f t="shared" si="489"/>
        <v>0</v>
      </c>
      <c r="BI522" s="25">
        <f t="shared" si="490"/>
        <v>0</v>
      </c>
      <c r="BJ522" s="25">
        <f t="shared" si="491"/>
        <v>0</v>
      </c>
      <c r="BK522" s="27" t="s">
        <v>57</v>
      </c>
      <c r="BL522" s="25">
        <v>767</v>
      </c>
      <c r="BW522" s="25">
        <v>21</v>
      </c>
      <c r="BX522" s="5" t="s">
        <v>1576</v>
      </c>
    </row>
    <row r="523" spans="1:76" x14ac:dyDescent="0.25">
      <c r="A523" s="2" t="s">
        <v>1577</v>
      </c>
      <c r="B523" s="3" t="s">
        <v>1578</v>
      </c>
      <c r="C523" s="93" t="s">
        <v>1579</v>
      </c>
      <c r="D523" s="94"/>
      <c r="E523" s="3" t="s">
        <v>52</v>
      </c>
      <c r="F523" s="25">
        <v>6</v>
      </c>
      <c r="G523" s="25">
        <v>0</v>
      </c>
      <c r="H523" s="25">
        <f t="shared" si="470"/>
        <v>0</v>
      </c>
      <c r="I523" s="25">
        <f t="shared" si="471"/>
        <v>0</v>
      </c>
      <c r="J523" s="25">
        <f t="shared" si="472"/>
        <v>0</v>
      </c>
      <c r="K523" s="26" t="s">
        <v>53</v>
      </c>
      <c r="Z523" s="25">
        <f t="shared" si="473"/>
        <v>0</v>
      </c>
      <c r="AB523" s="25">
        <f t="shared" si="474"/>
        <v>0</v>
      </c>
      <c r="AC523" s="25">
        <f t="shared" si="475"/>
        <v>0</v>
      </c>
      <c r="AD523" s="25">
        <f t="shared" si="476"/>
        <v>0</v>
      </c>
      <c r="AE523" s="25">
        <f t="shared" si="477"/>
        <v>0</v>
      </c>
      <c r="AF523" s="25">
        <f t="shared" si="478"/>
        <v>0</v>
      </c>
      <c r="AG523" s="25">
        <f t="shared" si="479"/>
        <v>0</v>
      </c>
      <c r="AH523" s="25">
        <f t="shared" si="480"/>
        <v>0</v>
      </c>
      <c r="AI523" s="11" t="s">
        <v>46</v>
      </c>
      <c r="AJ523" s="25">
        <f t="shared" si="481"/>
        <v>0</v>
      </c>
      <c r="AK523" s="25">
        <f t="shared" si="482"/>
        <v>0</v>
      </c>
      <c r="AL523" s="25">
        <f t="shared" si="483"/>
        <v>0</v>
      </c>
      <c r="AN523" s="25">
        <v>21</v>
      </c>
      <c r="AO523" s="25">
        <f>G523*1</f>
        <v>0</v>
      </c>
      <c r="AP523" s="25">
        <f>G523*(1-1)</f>
        <v>0</v>
      </c>
      <c r="AQ523" s="27" t="s">
        <v>76</v>
      </c>
      <c r="AV523" s="25">
        <f t="shared" si="484"/>
        <v>0</v>
      </c>
      <c r="AW523" s="25">
        <f t="shared" si="485"/>
        <v>0</v>
      </c>
      <c r="AX523" s="25">
        <f t="shared" si="486"/>
        <v>0</v>
      </c>
      <c r="AY523" s="27" t="s">
        <v>1546</v>
      </c>
      <c r="AZ523" s="27" t="s">
        <v>1426</v>
      </c>
      <c r="BA523" s="11" t="s">
        <v>56</v>
      </c>
      <c r="BC523" s="25">
        <f t="shared" si="487"/>
        <v>0</v>
      </c>
      <c r="BD523" s="25">
        <f t="shared" si="488"/>
        <v>0</v>
      </c>
      <c r="BE523" s="25">
        <v>0</v>
      </c>
      <c r="BF523" s="25">
        <f>523</f>
        <v>523</v>
      </c>
      <c r="BH523" s="25">
        <f t="shared" si="489"/>
        <v>0</v>
      </c>
      <c r="BI523" s="25">
        <f t="shared" si="490"/>
        <v>0</v>
      </c>
      <c r="BJ523" s="25">
        <f t="shared" si="491"/>
        <v>0</v>
      </c>
      <c r="BK523" s="27" t="s">
        <v>57</v>
      </c>
      <c r="BL523" s="25">
        <v>767</v>
      </c>
      <c r="BW523" s="25">
        <v>21</v>
      </c>
      <c r="BX523" s="5" t="s">
        <v>1579</v>
      </c>
    </row>
    <row r="524" spans="1:76" x14ac:dyDescent="0.25">
      <c r="A524" s="2" t="s">
        <v>1580</v>
      </c>
      <c r="B524" s="3" t="s">
        <v>1581</v>
      </c>
      <c r="C524" s="93" t="s">
        <v>1582</v>
      </c>
      <c r="D524" s="94"/>
      <c r="E524" s="3" t="s">
        <v>52</v>
      </c>
      <c r="F524" s="25">
        <v>2</v>
      </c>
      <c r="G524" s="25">
        <v>0</v>
      </c>
      <c r="H524" s="25">
        <f t="shared" si="470"/>
        <v>0</v>
      </c>
      <c r="I524" s="25">
        <f t="shared" si="471"/>
        <v>0</v>
      </c>
      <c r="J524" s="25">
        <f t="shared" si="472"/>
        <v>0</v>
      </c>
      <c r="K524" s="26" t="s">
        <v>53</v>
      </c>
      <c r="Z524" s="25">
        <f t="shared" si="473"/>
        <v>0</v>
      </c>
      <c r="AB524" s="25">
        <f t="shared" si="474"/>
        <v>0</v>
      </c>
      <c r="AC524" s="25">
        <f t="shared" si="475"/>
        <v>0</v>
      </c>
      <c r="AD524" s="25">
        <f t="shared" si="476"/>
        <v>0</v>
      </c>
      <c r="AE524" s="25">
        <f t="shared" si="477"/>
        <v>0</v>
      </c>
      <c r="AF524" s="25">
        <f t="shared" si="478"/>
        <v>0</v>
      </c>
      <c r="AG524" s="25">
        <f t="shared" si="479"/>
        <v>0</v>
      </c>
      <c r="AH524" s="25">
        <f t="shared" si="480"/>
        <v>0</v>
      </c>
      <c r="AI524" s="11" t="s">
        <v>46</v>
      </c>
      <c r="AJ524" s="25">
        <f t="shared" si="481"/>
        <v>0</v>
      </c>
      <c r="AK524" s="25">
        <f t="shared" si="482"/>
        <v>0</v>
      </c>
      <c r="AL524" s="25">
        <f t="shared" si="483"/>
        <v>0</v>
      </c>
      <c r="AN524" s="25">
        <v>21</v>
      </c>
      <c r="AO524" s="25">
        <f>G524*0.82</f>
        <v>0</v>
      </c>
      <c r="AP524" s="25">
        <f>G524*(1-0.82)</f>
        <v>0</v>
      </c>
      <c r="AQ524" s="27" t="s">
        <v>76</v>
      </c>
      <c r="AV524" s="25">
        <f t="shared" si="484"/>
        <v>0</v>
      </c>
      <c r="AW524" s="25">
        <f t="shared" si="485"/>
        <v>0</v>
      </c>
      <c r="AX524" s="25">
        <f t="shared" si="486"/>
        <v>0</v>
      </c>
      <c r="AY524" s="27" t="s">
        <v>1546</v>
      </c>
      <c r="AZ524" s="27" t="s">
        <v>1426</v>
      </c>
      <c r="BA524" s="11" t="s">
        <v>56</v>
      </c>
      <c r="BC524" s="25">
        <f t="shared" si="487"/>
        <v>0</v>
      </c>
      <c r="BD524" s="25">
        <f t="shared" si="488"/>
        <v>0</v>
      </c>
      <c r="BE524" s="25">
        <v>0</v>
      </c>
      <c r="BF524" s="25">
        <f>524</f>
        <v>524</v>
      </c>
      <c r="BH524" s="25">
        <f t="shared" si="489"/>
        <v>0</v>
      </c>
      <c r="BI524" s="25">
        <f t="shared" si="490"/>
        <v>0</v>
      </c>
      <c r="BJ524" s="25">
        <f t="shared" si="491"/>
        <v>0</v>
      </c>
      <c r="BK524" s="27" t="s">
        <v>57</v>
      </c>
      <c r="BL524" s="25">
        <v>767</v>
      </c>
      <c r="BW524" s="25">
        <v>21</v>
      </c>
      <c r="BX524" s="5" t="s">
        <v>1582</v>
      </c>
    </row>
    <row r="525" spans="1:76" x14ac:dyDescent="0.25">
      <c r="A525" s="2" t="s">
        <v>1583</v>
      </c>
      <c r="B525" s="3" t="s">
        <v>1584</v>
      </c>
      <c r="C525" s="93" t="s">
        <v>1585</v>
      </c>
      <c r="D525" s="94"/>
      <c r="E525" s="3" t="s">
        <v>52</v>
      </c>
      <c r="F525" s="25">
        <v>2</v>
      </c>
      <c r="G525" s="25">
        <v>0</v>
      </c>
      <c r="H525" s="25">
        <f t="shared" si="470"/>
        <v>0</v>
      </c>
      <c r="I525" s="25">
        <f t="shared" si="471"/>
        <v>0</v>
      </c>
      <c r="J525" s="25">
        <f t="shared" si="472"/>
        <v>0</v>
      </c>
      <c r="K525" s="26" t="s">
        <v>53</v>
      </c>
      <c r="Z525" s="25">
        <f t="shared" si="473"/>
        <v>0</v>
      </c>
      <c r="AB525" s="25">
        <f t="shared" si="474"/>
        <v>0</v>
      </c>
      <c r="AC525" s="25">
        <f t="shared" si="475"/>
        <v>0</v>
      </c>
      <c r="AD525" s="25">
        <f t="shared" si="476"/>
        <v>0</v>
      </c>
      <c r="AE525" s="25">
        <f t="shared" si="477"/>
        <v>0</v>
      </c>
      <c r="AF525" s="25">
        <f t="shared" si="478"/>
        <v>0</v>
      </c>
      <c r="AG525" s="25">
        <f t="shared" si="479"/>
        <v>0</v>
      </c>
      <c r="AH525" s="25">
        <f t="shared" si="480"/>
        <v>0</v>
      </c>
      <c r="AI525" s="11" t="s">
        <v>46</v>
      </c>
      <c r="AJ525" s="25">
        <f t="shared" si="481"/>
        <v>0</v>
      </c>
      <c r="AK525" s="25">
        <f t="shared" si="482"/>
        <v>0</v>
      </c>
      <c r="AL525" s="25">
        <f t="shared" si="483"/>
        <v>0</v>
      </c>
      <c r="AN525" s="25">
        <v>21</v>
      </c>
      <c r="AO525" s="25">
        <f>G525*1</f>
        <v>0</v>
      </c>
      <c r="AP525" s="25">
        <f>G525*(1-1)</f>
        <v>0</v>
      </c>
      <c r="AQ525" s="27" t="s">
        <v>76</v>
      </c>
      <c r="AV525" s="25">
        <f t="shared" si="484"/>
        <v>0</v>
      </c>
      <c r="AW525" s="25">
        <f t="shared" si="485"/>
        <v>0</v>
      </c>
      <c r="AX525" s="25">
        <f t="shared" si="486"/>
        <v>0</v>
      </c>
      <c r="AY525" s="27" t="s">
        <v>1546</v>
      </c>
      <c r="AZ525" s="27" t="s">
        <v>1426</v>
      </c>
      <c r="BA525" s="11" t="s">
        <v>56</v>
      </c>
      <c r="BC525" s="25">
        <f t="shared" si="487"/>
        <v>0</v>
      </c>
      <c r="BD525" s="25">
        <f t="shared" si="488"/>
        <v>0</v>
      </c>
      <c r="BE525" s="25">
        <v>0</v>
      </c>
      <c r="BF525" s="25">
        <f>525</f>
        <v>525</v>
      </c>
      <c r="BH525" s="25">
        <f t="shared" si="489"/>
        <v>0</v>
      </c>
      <c r="BI525" s="25">
        <f t="shared" si="490"/>
        <v>0</v>
      </c>
      <c r="BJ525" s="25">
        <f t="shared" si="491"/>
        <v>0</v>
      </c>
      <c r="BK525" s="27" t="s">
        <v>57</v>
      </c>
      <c r="BL525" s="25">
        <v>767</v>
      </c>
      <c r="BW525" s="25">
        <v>21</v>
      </c>
      <c r="BX525" s="5" t="s">
        <v>1585</v>
      </c>
    </row>
    <row r="526" spans="1:76" x14ac:dyDescent="0.25">
      <c r="A526" s="2" t="s">
        <v>1586</v>
      </c>
      <c r="B526" s="3" t="s">
        <v>1587</v>
      </c>
      <c r="C526" s="93" t="s">
        <v>1588</v>
      </c>
      <c r="D526" s="94"/>
      <c r="E526" s="3" t="s">
        <v>52</v>
      </c>
      <c r="F526" s="25">
        <v>2</v>
      </c>
      <c r="G526" s="25">
        <v>0</v>
      </c>
      <c r="H526" s="25">
        <f t="shared" si="470"/>
        <v>0</v>
      </c>
      <c r="I526" s="25">
        <f t="shared" si="471"/>
        <v>0</v>
      </c>
      <c r="J526" s="25">
        <f t="shared" si="472"/>
        <v>0</v>
      </c>
      <c r="K526" s="26" t="s">
        <v>53</v>
      </c>
      <c r="Z526" s="25">
        <f t="shared" si="473"/>
        <v>0</v>
      </c>
      <c r="AB526" s="25">
        <f t="shared" si="474"/>
        <v>0</v>
      </c>
      <c r="AC526" s="25">
        <f t="shared" si="475"/>
        <v>0</v>
      </c>
      <c r="AD526" s="25">
        <f t="shared" si="476"/>
        <v>0</v>
      </c>
      <c r="AE526" s="25">
        <f t="shared" si="477"/>
        <v>0</v>
      </c>
      <c r="AF526" s="25">
        <f t="shared" si="478"/>
        <v>0</v>
      </c>
      <c r="AG526" s="25">
        <f t="shared" si="479"/>
        <v>0</v>
      </c>
      <c r="AH526" s="25">
        <f t="shared" si="480"/>
        <v>0</v>
      </c>
      <c r="AI526" s="11" t="s">
        <v>46</v>
      </c>
      <c r="AJ526" s="25">
        <f t="shared" si="481"/>
        <v>0</v>
      </c>
      <c r="AK526" s="25">
        <f t="shared" si="482"/>
        <v>0</v>
      </c>
      <c r="AL526" s="25">
        <f t="shared" si="483"/>
        <v>0</v>
      </c>
      <c r="AN526" s="25">
        <v>21</v>
      </c>
      <c r="AO526" s="25">
        <f>G526*1</f>
        <v>0</v>
      </c>
      <c r="AP526" s="25">
        <f>G526*(1-1)</f>
        <v>0</v>
      </c>
      <c r="AQ526" s="27" t="s">
        <v>76</v>
      </c>
      <c r="AV526" s="25">
        <f t="shared" si="484"/>
        <v>0</v>
      </c>
      <c r="AW526" s="25">
        <f t="shared" si="485"/>
        <v>0</v>
      </c>
      <c r="AX526" s="25">
        <f t="shared" si="486"/>
        <v>0</v>
      </c>
      <c r="AY526" s="27" t="s">
        <v>1546</v>
      </c>
      <c r="AZ526" s="27" t="s">
        <v>1426</v>
      </c>
      <c r="BA526" s="11" t="s">
        <v>56</v>
      </c>
      <c r="BC526" s="25">
        <f t="shared" si="487"/>
        <v>0</v>
      </c>
      <c r="BD526" s="25">
        <f t="shared" si="488"/>
        <v>0</v>
      </c>
      <c r="BE526" s="25">
        <v>0</v>
      </c>
      <c r="BF526" s="25">
        <f>526</f>
        <v>526</v>
      </c>
      <c r="BH526" s="25">
        <f t="shared" si="489"/>
        <v>0</v>
      </c>
      <c r="BI526" s="25">
        <f t="shared" si="490"/>
        <v>0</v>
      </c>
      <c r="BJ526" s="25">
        <f t="shared" si="491"/>
        <v>0</v>
      </c>
      <c r="BK526" s="27" t="s">
        <v>57</v>
      </c>
      <c r="BL526" s="25">
        <v>767</v>
      </c>
      <c r="BW526" s="25">
        <v>21</v>
      </c>
      <c r="BX526" s="5" t="s">
        <v>1588</v>
      </c>
    </row>
    <row r="527" spans="1:76" ht="25.5" x14ac:dyDescent="0.25">
      <c r="A527" s="2" t="s">
        <v>1589</v>
      </c>
      <c r="B527" s="3" t="s">
        <v>1590</v>
      </c>
      <c r="C527" s="93" t="s">
        <v>1591</v>
      </c>
      <c r="D527" s="94"/>
      <c r="E527" s="3" t="s">
        <v>52</v>
      </c>
      <c r="F527" s="25">
        <v>15</v>
      </c>
      <c r="G527" s="25">
        <v>0</v>
      </c>
      <c r="H527" s="25">
        <f t="shared" si="470"/>
        <v>0</v>
      </c>
      <c r="I527" s="25">
        <f t="shared" si="471"/>
        <v>0</v>
      </c>
      <c r="J527" s="25">
        <f t="shared" si="472"/>
        <v>0</v>
      </c>
      <c r="K527" s="26" t="s">
        <v>53</v>
      </c>
      <c r="Z527" s="25">
        <f t="shared" si="473"/>
        <v>0</v>
      </c>
      <c r="AB527" s="25">
        <f t="shared" si="474"/>
        <v>0</v>
      </c>
      <c r="AC527" s="25">
        <f t="shared" si="475"/>
        <v>0</v>
      </c>
      <c r="AD527" s="25">
        <f t="shared" si="476"/>
        <v>0</v>
      </c>
      <c r="AE527" s="25">
        <f t="shared" si="477"/>
        <v>0</v>
      </c>
      <c r="AF527" s="25">
        <f t="shared" si="478"/>
        <v>0</v>
      </c>
      <c r="AG527" s="25">
        <f t="shared" si="479"/>
        <v>0</v>
      </c>
      <c r="AH527" s="25">
        <f t="shared" si="480"/>
        <v>0</v>
      </c>
      <c r="AI527" s="11" t="s">
        <v>46</v>
      </c>
      <c r="AJ527" s="25">
        <f t="shared" si="481"/>
        <v>0</v>
      </c>
      <c r="AK527" s="25">
        <f t="shared" si="482"/>
        <v>0</v>
      </c>
      <c r="AL527" s="25">
        <f t="shared" si="483"/>
        <v>0</v>
      </c>
      <c r="AN527" s="25">
        <v>21</v>
      </c>
      <c r="AO527" s="25">
        <f>G527*0</f>
        <v>0</v>
      </c>
      <c r="AP527" s="25">
        <f>G527*(1-0)</f>
        <v>0</v>
      </c>
      <c r="AQ527" s="27" t="s">
        <v>76</v>
      </c>
      <c r="AV527" s="25">
        <f t="shared" si="484"/>
        <v>0</v>
      </c>
      <c r="AW527" s="25">
        <f t="shared" si="485"/>
        <v>0</v>
      </c>
      <c r="AX527" s="25">
        <f t="shared" si="486"/>
        <v>0</v>
      </c>
      <c r="AY527" s="27" t="s">
        <v>1546</v>
      </c>
      <c r="AZ527" s="27" t="s">
        <v>1426</v>
      </c>
      <c r="BA527" s="11" t="s">
        <v>56</v>
      </c>
      <c r="BC527" s="25">
        <f t="shared" si="487"/>
        <v>0</v>
      </c>
      <c r="BD527" s="25">
        <f t="shared" si="488"/>
        <v>0</v>
      </c>
      <c r="BE527" s="25">
        <v>0</v>
      </c>
      <c r="BF527" s="25">
        <f>527</f>
        <v>527</v>
      </c>
      <c r="BH527" s="25">
        <f t="shared" si="489"/>
        <v>0</v>
      </c>
      <c r="BI527" s="25">
        <f t="shared" si="490"/>
        <v>0</v>
      </c>
      <c r="BJ527" s="25">
        <f t="shared" si="491"/>
        <v>0</v>
      </c>
      <c r="BK527" s="27" t="s">
        <v>57</v>
      </c>
      <c r="BL527" s="25">
        <v>767</v>
      </c>
      <c r="BW527" s="25">
        <v>21</v>
      </c>
      <c r="BX527" s="5" t="s">
        <v>1591</v>
      </c>
    </row>
    <row r="528" spans="1:76" x14ac:dyDescent="0.25">
      <c r="A528" s="2" t="s">
        <v>1592</v>
      </c>
      <c r="B528" s="3" t="s">
        <v>1593</v>
      </c>
      <c r="C528" s="93" t="s">
        <v>1594</v>
      </c>
      <c r="D528" s="94"/>
      <c r="E528" s="3" t="s">
        <v>1052</v>
      </c>
      <c r="F528" s="25">
        <v>5710</v>
      </c>
      <c r="G528" s="25">
        <v>0</v>
      </c>
      <c r="H528" s="25">
        <f t="shared" si="470"/>
        <v>0</v>
      </c>
      <c r="I528" s="25">
        <f t="shared" si="471"/>
        <v>0</v>
      </c>
      <c r="J528" s="25">
        <f t="shared" si="472"/>
        <v>0</v>
      </c>
      <c r="K528" s="26" t="s">
        <v>53</v>
      </c>
      <c r="Z528" s="25">
        <f t="shared" si="473"/>
        <v>0</v>
      </c>
      <c r="AB528" s="25">
        <f t="shared" si="474"/>
        <v>0</v>
      </c>
      <c r="AC528" s="25">
        <f t="shared" si="475"/>
        <v>0</v>
      </c>
      <c r="AD528" s="25">
        <f t="shared" si="476"/>
        <v>0</v>
      </c>
      <c r="AE528" s="25">
        <f t="shared" si="477"/>
        <v>0</v>
      </c>
      <c r="AF528" s="25">
        <f t="shared" si="478"/>
        <v>0</v>
      </c>
      <c r="AG528" s="25">
        <f t="shared" si="479"/>
        <v>0</v>
      </c>
      <c r="AH528" s="25">
        <f t="shared" si="480"/>
        <v>0</v>
      </c>
      <c r="AI528" s="11" t="s">
        <v>46</v>
      </c>
      <c r="AJ528" s="25">
        <f t="shared" si="481"/>
        <v>0</v>
      </c>
      <c r="AK528" s="25">
        <f t="shared" si="482"/>
        <v>0</v>
      </c>
      <c r="AL528" s="25">
        <f t="shared" si="483"/>
        <v>0</v>
      </c>
      <c r="AN528" s="25">
        <v>21</v>
      </c>
      <c r="AO528" s="25">
        <f>G528*0.125362903</f>
        <v>0</v>
      </c>
      <c r="AP528" s="25">
        <f>G528*(1-0.125362903)</f>
        <v>0</v>
      </c>
      <c r="AQ528" s="27" t="s">
        <v>76</v>
      </c>
      <c r="AV528" s="25">
        <f t="shared" si="484"/>
        <v>0</v>
      </c>
      <c r="AW528" s="25">
        <f t="shared" si="485"/>
        <v>0</v>
      </c>
      <c r="AX528" s="25">
        <f t="shared" si="486"/>
        <v>0</v>
      </c>
      <c r="AY528" s="27" t="s">
        <v>1546</v>
      </c>
      <c r="AZ528" s="27" t="s">
        <v>1426</v>
      </c>
      <c r="BA528" s="11" t="s">
        <v>56</v>
      </c>
      <c r="BC528" s="25">
        <f t="shared" si="487"/>
        <v>0</v>
      </c>
      <c r="BD528" s="25">
        <f t="shared" si="488"/>
        <v>0</v>
      </c>
      <c r="BE528" s="25">
        <v>0</v>
      </c>
      <c r="BF528" s="25">
        <f>528</f>
        <v>528</v>
      </c>
      <c r="BH528" s="25">
        <f t="shared" si="489"/>
        <v>0</v>
      </c>
      <c r="BI528" s="25">
        <f t="shared" si="490"/>
        <v>0</v>
      </c>
      <c r="BJ528" s="25">
        <f t="shared" si="491"/>
        <v>0</v>
      </c>
      <c r="BK528" s="27" t="s">
        <v>57</v>
      </c>
      <c r="BL528" s="25">
        <v>767</v>
      </c>
      <c r="BW528" s="25">
        <v>21</v>
      </c>
      <c r="BX528" s="5" t="s">
        <v>1594</v>
      </c>
    </row>
    <row r="529" spans="1:76" x14ac:dyDescent="0.25">
      <c r="A529" s="2" t="s">
        <v>1595</v>
      </c>
      <c r="B529" s="3" t="s">
        <v>1596</v>
      </c>
      <c r="C529" s="93" t="s">
        <v>1597</v>
      </c>
      <c r="D529" s="94"/>
      <c r="E529" s="3" t="s">
        <v>1052</v>
      </c>
      <c r="F529" s="25">
        <v>560</v>
      </c>
      <c r="G529" s="25">
        <v>0</v>
      </c>
      <c r="H529" s="25">
        <f t="shared" si="470"/>
        <v>0</v>
      </c>
      <c r="I529" s="25">
        <f t="shared" si="471"/>
        <v>0</v>
      </c>
      <c r="J529" s="25">
        <f t="shared" si="472"/>
        <v>0</v>
      </c>
      <c r="K529" s="26" t="s">
        <v>53</v>
      </c>
      <c r="Z529" s="25">
        <f t="shared" si="473"/>
        <v>0</v>
      </c>
      <c r="AB529" s="25">
        <f t="shared" si="474"/>
        <v>0</v>
      </c>
      <c r="AC529" s="25">
        <f t="shared" si="475"/>
        <v>0</v>
      </c>
      <c r="AD529" s="25">
        <f t="shared" si="476"/>
        <v>0</v>
      </c>
      <c r="AE529" s="25">
        <f t="shared" si="477"/>
        <v>0</v>
      </c>
      <c r="AF529" s="25">
        <f t="shared" si="478"/>
        <v>0</v>
      </c>
      <c r="AG529" s="25">
        <f t="shared" si="479"/>
        <v>0</v>
      </c>
      <c r="AH529" s="25">
        <f t="shared" si="480"/>
        <v>0</v>
      </c>
      <c r="AI529" s="11" t="s">
        <v>46</v>
      </c>
      <c r="AJ529" s="25">
        <f t="shared" si="481"/>
        <v>0</v>
      </c>
      <c r="AK529" s="25">
        <f t="shared" si="482"/>
        <v>0</v>
      </c>
      <c r="AL529" s="25">
        <f t="shared" si="483"/>
        <v>0</v>
      </c>
      <c r="AN529" s="25">
        <v>21</v>
      </c>
      <c r="AO529" s="25">
        <f>G529*0.125362903</f>
        <v>0</v>
      </c>
      <c r="AP529" s="25">
        <f>G529*(1-0.125362903)</f>
        <v>0</v>
      </c>
      <c r="AQ529" s="27" t="s">
        <v>76</v>
      </c>
      <c r="AV529" s="25">
        <f t="shared" si="484"/>
        <v>0</v>
      </c>
      <c r="AW529" s="25">
        <f t="shared" si="485"/>
        <v>0</v>
      </c>
      <c r="AX529" s="25">
        <f t="shared" si="486"/>
        <v>0</v>
      </c>
      <c r="AY529" s="27" t="s">
        <v>1546</v>
      </c>
      <c r="AZ529" s="27" t="s">
        <v>1426</v>
      </c>
      <c r="BA529" s="11" t="s">
        <v>56</v>
      </c>
      <c r="BC529" s="25">
        <f t="shared" si="487"/>
        <v>0</v>
      </c>
      <c r="BD529" s="25">
        <f t="shared" si="488"/>
        <v>0</v>
      </c>
      <c r="BE529" s="25">
        <v>0</v>
      </c>
      <c r="BF529" s="25">
        <f>529</f>
        <v>529</v>
      </c>
      <c r="BH529" s="25">
        <f t="shared" si="489"/>
        <v>0</v>
      </c>
      <c r="BI529" s="25">
        <f t="shared" si="490"/>
        <v>0</v>
      </c>
      <c r="BJ529" s="25">
        <f t="shared" si="491"/>
        <v>0</v>
      </c>
      <c r="BK529" s="27" t="s">
        <v>57</v>
      </c>
      <c r="BL529" s="25">
        <v>767</v>
      </c>
      <c r="BW529" s="25">
        <v>21</v>
      </c>
      <c r="BX529" s="5" t="s">
        <v>1597</v>
      </c>
    </row>
    <row r="530" spans="1:76" ht="25.5" x14ac:dyDescent="0.25">
      <c r="A530" s="2" t="s">
        <v>1598</v>
      </c>
      <c r="B530" s="3" t="s">
        <v>1599</v>
      </c>
      <c r="C530" s="93" t="s">
        <v>1600</v>
      </c>
      <c r="D530" s="94"/>
      <c r="E530" s="3" t="s">
        <v>1052</v>
      </c>
      <c r="F530" s="25">
        <v>80</v>
      </c>
      <c r="G530" s="25">
        <v>0</v>
      </c>
      <c r="H530" s="25">
        <f t="shared" si="470"/>
        <v>0</v>
      </c>
      <c r="I530" s="25">
        <f t="shared" si="471"/>
        <v>0</v>
      </c>
      <c r="J530" s="25">
        <f t="shared" si="472"/>
        <v>0</v>
      </c>
      <c r="K530" s="26" t="s">
        <v>53</v>
      </c>
      <c r="Z530" s="25">
        <f t="shared" si="473"/>
        <v>0</v>
      </c>
      <c r="AB530" s="25">
        <f t="shared" si="474"/>
        <v>0</v>
      </c>
      <c r="AC530" s="25">
        <f t="shared" si="475"/>
        <v>0</v>
      </c>
      <c r="AD530" s="25">
        <f t="shared" si="476"/>
        <v>0</v>
      </c>
      <c r="AE530" s="25">
        <f t="shared" si="477"/>
        <v>0</v>
      </c>
      <c r="AF530" s="25">
        <f t="shared" si="478"/>
        <v>0</v>
      </c>
      <c r="AG530" s="25">
        <f t="shared" si="479"/>
        <v>0</v>
      </c>
      <c r="AH530" s="25">
        <f t="shared" si="480"/>
        <v>0</v>
      </c>
      <c r="AI530" s="11" t="s">
        <v>46</v>
      </c>
      <c r="AJ530" s="25">
        <f t="shared" si="481"/>
        <v>0</v>
      </c>
      <c r="AK530" s="25">
        <f t="shared" si="482"/>
        <v>0</v>
      </c>
      <c r="AL530" s="25">
        <f t="shared" si="483"/>
        <v>0</v>
      </c>
      <c r="AN530" s="25">
        <v>21</v>
      </c>
      <c r="AO530" s="25">
        <f>G530*0.125362903</f>
        <v>0</v>
      </c>
      <c r="AP530" s="25">
        <f>G530*(1-0.125362903)</f>
        <v>0</v>
      </c>
      <c r="AQ530" s="27" t="s">
        <v>76</v>
      </c>
      <c r="AV530" s="25">
        <f t="shared" si="484"/>
        <v>0</v>
      </c>
      <c r="AW530" s="25">
        <f t="shared" si="485"/>
        <v>0</v>
      </c>
      <c r="AX530" s="25">
        <f t="shared" si="486"/>
        <v>0</v>
      </c>
      <c r="AY530" s="27" t="s">
        <v>1546</v>
      </c>
      <c r="AZ530" s="27" t="s">
        <v>1426</v>
      </c>
      <c r="BA530" s="11" t="s">
        <v>56</v>
      </c>
      <c r="BC530" s="25">
        <f t="shared" si="487"/>
        <v>0</v>
      </c>
      <c r="BD530" s="25">
        <f t="shared" si="488"/>
        <v>0</v>
      </c>
      <c r="BE530" s="25">
        <v>0</v>
      </c>
      <c r="BF530" s="25">
        <f>530</f>
        <v>530</v>
      </c>
      <c r="BH530" s="25">
        <f t="shared" si="489"/>
        <v>0</v>
      </c>
      <c r="BI530" s="25">
        <f t="shared" si="490"/>
        <v>0</v>
      </c>
      <c r="BJ530" s="25">
        <f t="shared" si="491"/>
        <v>0</v>
      </c>
      <c r="BK530" s="27" t="s">
        <v>57</v>
      </c>
      <c r="BL530" s="25">
        <v>767</v>
      </c>
      <c r="BW530" s="25">
        <v>21</v>
      </c>
      <c r="BX530" s="5" t="s">
        <v>1600</v>
      </c>
    </row>
    <row r="531" spans="1:76" x14ac:dyDescent="0.25">
      <c r="A531" s="2" t="s">
        <v>1601</v>
      </c>
      <c r="B531" s="3" t="s">
        <v>1602</v>
      </c>
      <c r="C531" s="93" t="s">
        <v>1603</v>
      </c>
      <c r="D531" s="94"/>
      <c r="E531" s="3" t="s">
        <v>52</v>
      </c>
      <c r="F531" s="25">
        <v>5</v>
      </c>
      <c r="G531" s="25">
        <v>0</v>
      </c>
      <c r="H531" s="25">
        <f t="shared" si="470"/>
        <v>0</v>
      </c>
      <c r="I531" s="25">
        <f t="shared" si="471"/>
        <v>0</v>
      </c>
      <c r="J531" s="25">
        <f t="shared" si="472"/>
        <v>0</v>
      </c>
      <c r="K531" s="26" t="s">
        <v>53</v>
      </c>
      <c r="Z531" s="25">
        <f t="shared" si="473"/>
        <v>0</v>
      </c>
      <c r="AB531" s="25">
        <f t="shared" si="474"/>
        <v>0</v>
      </c>
      <c r="AC531" s="25">
        <f t="shared" si="475"/>
        <v>0</v>
      </c>
      <c r="AD531" s="25">
        <f t="shared" si="476"/>
        <v>0</v>
      </c>
      <c r="AE531" s="25">
        <f t="shared" si="477"/>
        <v>0</v>
      </c>
      <c r="AF531" s="25">
        <f t="shared" si="478"/>
        <v>0</v>
      </c>
      <c r="AG531" s="25">
        <f t="shared" si="479"/>
        <v>0</v>
      </c>
      <c r="AH531" s="25">
        <f t="shared" si="480"/>
        <v>0</v>
      </c>
      <c r="AI531" s="11" t="s">
        <v>46</v>
      </c>
      <c r="AJ531" s="25">
        <f t="shared" si="481"/>
        <v>0</v>
      </c>
      <c r="AK531" s="25">
        <f t="shared" si="482"/>
        <v>0</v>
      </c>
      <c r="AL531" s="25">
        <f t="shared" si="483"/>
        <v>0</v>
      </c>
      <c r="AN531" s="25">
        <v>21</v>
      </c>
      <c r="AO531" s="25">
        <f>G531*0.125399788</f>
        <v>0</v>
      </c>
      <c r="AP531" s="25">
        <f>G531*(1-0.125399788)</f>
        <v>0</v>
      </c>
      <c r="AQ531" s="27" t="s">
        <v>76</v>
      </c>
      <c r="AV531" s="25">
        <f t="shared" si="484"/>
        <v>0</v>
      </c>
      <c r="AW531" s="25">
        <f t="shared" si="485"/>
        <v>0</v>
      </c>
      <c r="AX531" s="25">
        <f t="shared" si="486"/>
        <v>0</v>
      </c>
      <c r="AY531" s="27" t="s">
        <v>1546</v>
      </c>
      <c r="AZ531" s="27" t="s">
        <v>1426</v>
      </c>
      <c r="BA531" s="11" t="s">
        <v>56</v>
      </c>
      <c r="BC531" s="25">
        <f t="shared" si="487"/>
        <v>0</v>
      </c>
      <c r="BD531" s="25">
        <f t="shared" si="488"/>
        <v>0</v>
      </c>
      <c r="BE531" s="25">
        <v>0</v>
      </c>
      <c r="BF531" s="25">
        <f>531</f>
        <v>531</v>
      </c>
      <c r="BH531" s="25">
        <f t="shared" si="489"/>
        <v>0</v>
      </c>
      <c r="BI531" s="25">
        <f t="shared" si="490"/>
        <v>0</v>
      </c>
      <c r="BJ531" s="25">
        <f t="shared" si="491"/>
        <v>0</v>
      </c>
      <c r="BK531" s="27" t="s">
        <v>57</v>
      </c>
      <c r="BL531" s="25">
        <v>767</v>
      </c>
      <c r="BW531" s="25">
        <v>21</v>
      </c>
      <c r="BX531" s="5" t="s">
        <v>1603</v>
      </c>
    </row>
    <row r="532" spans="1:76" x14ac:dyDescent="0.25">
      <c r="A532" s="2" t="s">
        <v>1604</v>
      </c>
      <c r="B532" s="3" t="s">
        <v>1605</v>
      </c>
      <c r="C532" s="93" t="s">
        <v>1606</v>
      </c>
      <c r="D532" s="94"/>
      <c r="E532" s="3" t="s">
        <v>52</v>
      </c>
      <c r="F532" s="25">
        <v>1</v>
      </c>
      <c r="G532" s="25">
        <v>0</v>
      </c>
      <c r="H532" s="25">
        <f t="shared" si="470"/>
        <v>0</v>
      </c>
      <c r="I532" s="25">
        <f t="shared" si="471"/>
        <v>0</v>
      </c>
      <c r="J532" s="25">
        <f t="shared" si="472"/>
        <v>0</v>
      </c>
      <c r="K532" s="26" t="s">
        <v>53</v>
      </c>
      <c r="Z532" s="25">
        <f t="shared" si="473"/>
        <v>0</v>
      </c>
      <c r="AB532" s="25">
        <f t="shared" si="474"/>
        <v>0</v>
      </c>
      <c r="AC532" s="25">
        <f t="shared" si="475"/>
        <v>0</v>
      </c>
      <c r="AD532" s="25">
        <f t="shared" si="476"/>
        <v>0</v>
      </c>
      <c r="AE532" s="25">
        <f t="shared" si="477"/>
        <v>0</v>
      </c>
      <c r="AF532" s="25">
        <f t="shared" si="478"/>
        <v>0</v>
      </c>
      <c r="AG532" s="25">
        <f t="shared" si="479"/>
        <v>0</v>
      </c>
      <c r="AH532" s="25">
        <f t="shared" si="480"/>
        <v>0</v>
      </c>
      <c r="AI532" s="11" t="s">
        <v>46</v>
      </c>
      <c r="AJ532" s="25">
        <f t="shared" si="481"/>
        <v>0</v>
      </c>
      <c r="AK532" s="25">
        <f t="shared" si="482"/>
        <v>0</v>
      </c>
      <c r="AL532" s="25">
        <f t="shared" si="483"/>
        <v>0</v>
      </c>
      <c r="AN532" s="25">
        <v>21</v>
      </c>
      <c r="AO532" s="25">
        <f>G532*0.125352189</f>
        <v>0</v>
      </c>
      <c r="AP532" s="25">
        <f>G532*(1-0.125352189)</f>
        <v>0</v>
      </c>
      <c r="AQ532" s="27" t="s">
        <v>76</v>
      </c>
      <c r="AV532" s="25">
        <f t="shared" si="484"/>
        <v>0</v>
      </c>
      <c r="AW532" s="25">
        <f t="shared" si="485"/>
        <v>0</v>
      </c>
      <c r="AX532" s="25">
        <f t="shared" si="486"/>
        <v>0</v>
      </c>
      <c r="AY532" s="27" t="s">
        <v>1546</v>
      </c>
      <c r="AZ532" s="27" t="s">
        <v>1426</v>
      </c>
      <c r="BA532" s="11" t="s">
        <v>56</v>
      </c>
      <c r="BC532" s="25">
        <f t="shared" si="487"/>
        <v>0</v>
      </c>
      <c r="BD532" s="25">
        <f t="shared" si="488"/>
        <v>0</v>
      </c>
      <c r="BE532" s="25">
        <v>0</v>
      </c>
      <c r="BF532" s="25">
        <f>532</f>
        <v>532</v>
      </c>
      <c r="BH532" s="25">
        <f t="shared" si="489"/>
        <v>0</v>
      </c>
      <c r="BI532" s="25">
        <f t="shared" si="490"/>
        <v>0</v>
      </c>
      <c r="BJ532" s="25">
        <f t="shared" si="491"/>
        <v>0</v>
      </c>
      <c r="BK532" s="27" t="s">
        <v>57</v>
      </c>
      <c r="BL532" s="25">
        <v>767</v>
      </c>
      <c r="BW532" s="25">
        <v>21</v>
      </c>
      <c r="BX532" s="5" t="s">
        <v>1606</v>
      </c>
    </row>
    <row r="533" spans="1:76" x14ac:dyDescent="0.25">
      <c r="A533" s="2" t="s">
        <v>1607</v>
      </c>
      <c r="B533" s="3" t="s">
        <v>1608</v>
      </c>
      <c r="C533" s="93" t="s">
        <v>1609</v>
      </c>
      <c r="D533" s="94"/>
      <c r="E533" s="3" t="s">
        <v>1052</v>
      </c>
      <c r="F533" s="25">
        <v>951</v>
      </c>
      <c r="G533" s="25">
        <v>0</v>
      </c>
      <c r="H533" s="25">
        <f t="shared" si="470"/>
        <v>0</v>
      </c>
      <c r="I533" s="25">
        <f t="shared" si="471"/>
        <v>0</v>
      </c>
      <c r="J533" s="25">
        <f t="shared" si="472"/>
        <v>0</v>
      </c>
      <c r="K533" s="26" t="s">
        <v>53</v>
      </c>
      <c r="Z533" s="25">
        <f t="shared" si="473"/>
        <v>0</v>
      </c>
      <c r="AB533" s="25">
        <f t="shared" si="474"/>
        <v>0</v>
      </c>
      <c r="AC533" s="25">
        <f t="shared" si="475"/>
        <v>0</v>
      </c>
      <c r="AD533" s="25">
        <f t="shared" si="476"/>
        <v>0</v>
      </c>
      <c r="AE533" s="25">
        <f t="shared" si="477"/>
        <v>0</v>
      </c>
      <c r="AF533" s="25">
        <f t="shared" si="478"/>
        <v>0</v>
      </c>
      <c r="AG533" s="25">
        <f t="shared" si="479"/>
        <v>0</v>
      </c>
      <c r="AH533" s="25">
        <f t="shared" si="480"/>
        <v>0</v>
      </c>
      <c r="AI533" s="11" t="s">
        <v>46</v>
      </c>
      <c r="AJ533" s="25">
        <f t="shared" si="481"/>
        <v>0</v>
      </c>
      <c r="AK533" s="25">
        <f t="shared" si="482"/>
        <v>0</v>
      </c>
      <c r="AL533" s="25">
        <f t="shared" si="483"/>
        <v>0</v>
      </c>
      <c r="AN533" s="25">
        <v>21</v>
      </c>
      <c r="AO533" s="25">
        <f>G533*0.125362319</f>
        <v>0</v>
      </c>
      <c r="AP533" s="25">
        <f>G533*(1-0.125362319)</f>
        <v>0</v>
      </c>
      <c r="AQ533" s="27" t="s">
        <v>76</v>
      </c>
      <c r="AV533" s="25">
        <f t="shared" si="484"/>
        <v>0</v>
      </c>
      <c r="AW533" s="25">
        <f t="shared" si="485"/>
        <v>0</v>
      </c>
      <c r="AX533" s="25">
        <f t="shared" si="486"/>
        <v>0</v>
      </c>
      <c r="AY533" s="27" t="s">
        <v>1546</v>
      </c>
      <c r="AZ533" s="27" t="s">
        <v>1426</v>
      </c>
      <c r="BA533" s="11" t="s">
        <v>56</v>
      </c>
      <c r="BC533" s="25">
        <f t="shared" si="487"/>
        <v>0</v>
      </c>
      <c r="BD533" s="25">
        <f t="shared" si="488"/>
        <v>0</v>
      </c>
      <c r="BE533" s="25">
        <v>0</v>
      </c>
      <c r="BF533" s="25">
        <f>533</f>
        <v>533</v>
      </c>
      <c r="BH533" s="25">
        <f t="shared" si="489"/>
        <v>0</v>
      </c>
      <c r="BI533" s="25">
        <f t="shared" si="490"/>
        <v>0</v>
      </c>
      <c r="BJ533" s="25">
        <f t="shared" si="491"/>
        <v>0</v>
      </c>
      <c r="BK533" s="27" t="s">
        <v>57</v>
      </c>
      <c r="BL533" s="25">
        <v>767</v>
      </c>
      <c r="BW533" s="25">
        <v>21</v>
      </c>
      <c r="BX533" s="5" t="s">
        <v>1609</v>
      </c>
    </row>
    <row r="534" spans="1:76" x14ac:dyDescent="0.25">
      <c r="A534" s="2" t="s">
        <v>1610</v>
      </c>
      <c r="B534" s="3" t="s">
        <v>1611</v>
      </c>
      <c r="C534" s="93" t="s">
        <v>1612</v>
      </c>
      <c r="D534" s="94"/>
      <c r="E534" s="3" t="s">
        <v>1052</v>
      </c>
      <c r="F534" s="25">
        <v>1093.8</v>
      </c>
      <c r="G534" s="25">
        <v>0</v>
      </c>
      <c r="H534" s="25">
        <f t="shared" si="470"/>
        <v>0</v>
      </c>
      <c r="I534" s="25">
        <f t="shared" si="471"/>
        <v>0</v>
      </c>
      <c r="J534" s="25">
        <f t="shared" si="472"/>
        <v>0</v>
      </c>
      <c r="K534" s="26" t="s">
        <v>53</v>
      </c>
      <c r="Z534" s="25">
        <f t="shared" si="473"/>
        <v>0</v>
      </c>
      <c r="AB534" s="25">
        <f t="shared" si="474"/>
        <v>0</v>
      </c>
      <c r="AC534" s="25">
        <f t="shared" si="475"/>
        <v>0</v>
      </c>
      <c r="AD534" s="25">
        <f t="shared" si="476"/>
        <v>0</v>
      </c>
      <c r="AE534" s="25">
        <f t="shared" si="477"/>
        <v>0</v>
      </c>
      <c r="AF534" s="25">
        <f t="shared" si="478"/>
        <v>0</v>
      </c>
      <c r="AG534" s="25">
        <f t="shared" si="479"/>
        <v>0</v>
      </c>
      <c r="AH534" s="25">
        <f t="shared" si="480"/>
        <v>0</v>
      </c>
      <c r="AI534" s="11" t="s">
        <v>46</v>
      </c>
      <c r="AJ534" s="25">
        <f t="shared" si="481"/>
        <v>0</v>
      </c>
      <c r="AK534" s="25">
        <f t="shared" si="482"/>
        <v>0</v>
      </c>
      <c r="AL534" s="25">
        <f t="shared" si="483"/>
        <v>0</v>
      </c>
      <c r="AN534" s="25">
        <v>21</v>
      </c>
      <c r="AO534" s="25">
        <f>G534*0.125362319</f>
        <v>0</v>
      </c>
      <c r="AP534" s="25">
        <f>G534*(1-0.125362319)</f>
        <v>0</v>
      </c>
      <c r="AQ534" s="27" t="s">
        <v>76</v>
      </c>
      <c r="AV534" s="25">
        <f t="shared" si="484"/>
        <v>0</v>
      </c>
      <c r="AW534" s="25">
        <f t="shared" si="485"/>
        <v>0</v>
      </c>
      <c r="AX534" s="25">
        <f t="shared" si="486"/>
        <v>0</v>
      </c>
      <c r="AY534" s="27" t="s">
        <v>1546</v>
      </c>
      <c r="AZ534" s="27" t="s">
        <v>1426</v>
      </c>
      <c r="BA534" s="11" t="s">
        <v>56</v>
      </c>
      <c r="BC534" s="25">
        <f t="shared" si="487"/>
        <v>0</v>
      </c>
      <c r="BD534" s="25">
        <f t="shared" si="488"/>
        <v>0</v>
      </c>
      <c r="BE534" s="25">
        <v>0</v>
      </c>
      <c r="BF534" s="25">
        <f>534</f>
        <v>534</v>
      </c>
      <c r="BH534" s="25">
        <f t="shared" si="489"/>
        <v>0</v>
      </c>
      <c r="BI534" s="25">
        <f t="shared" si="490"/>
        <v>0</v>
      </c>
      <c r="BJ534" s="25">
        <f t="shared" si="491"/>
        <v>0</v>
      </c>
      <c r="BK534" s="27" t="s">
        <v>57</v>
      </c>
      <c r="BL534" s="25">
        <v>767</v>
      </c>
      <c r="BW534" s="25">
        <v>21</v>
      </c>
      <c r="BX534" s="5" t="s">
        <v>1612</v>
      </c>
    </row>
    <row r="535" spans="1:76" x14ac:dyDescent="0.25">
      <c r="A535" s="2" t="s">
        <v>1613</v>
      </c>
      <c r="B535" s="3" t="s">
        <v>1614</v>
      </c>
      <c r="C535" s="93" t="s">
        <v>1615</v>
      </c>
      <c r="D535" s="94"/>
      <c r="E535" s="3" t="s">
        <v>52</v>
      </c>
      <c r="F535" s="25">
        <v>5</v>
      </c>
      <c r="G535" s="25">
        <v>0</v>
      </c>
      <c r="H535" s="25">
        <f t="shared" si="470"/>
        <v>0</v>
      </c>
      <c r="I535" s="25">
        <f t="shared" si="471"/>
        <v>0</v>
      </c>
      <c r="J535" s="25">
        <f t="shared" si="472"/>
        <v>0</v>
      </c>
      <c r="K535" s="26" t="s">
        <v>53</v>
      </c>
      <c r="Z535" s="25">
        <f t="shared" si="473"/>
        <v>0</v>
      </c>
      <c r="AB535" s="25">
        <f t="shared" si="474"/>
        <v>0</v>
      </c>
      <c r="AC535" s="25">
        <f t="shared" si="475"/>
        <v>0</v>
      </c>
      <c r="AD535" s="25">
        <f t="shared" si="476"/>
        <v>0</v>
      </c>
      <c r="AE535" s="25">
        <f t="shared" si="477"/>
        <v>0</v>
      </c>
      <c r="AF535" s="25">
        <f t="shared" si="478"/>
        <v>0</v>
      </c>
      <c r="AG535" s="25">
        <f t="shared" si="479"/>
        <v>0</v>
      </c>
      <c r="AH535" s="25">
        <f t="shared" si="480"/>
        <v>0</v>
      </c>
      <c r="AI535" s="11" t="s">
        <v>46</v>
      </c>
      <c r="AJ535" s="25">
        <f t="shared" si="481"/>
        <v>0</v>
      </c>
      <c r="AK535" s="25">
        <f t="shared" si="482"/>
        <v>0</v>
      </c>
      <c r="AL535" s="25">
        <f t="shared" si="483"/>
        <v>0</v>
      </c>
      <c r="AN535" s="25">
        <v>21</v>
      </c>
      <c r="AO535" s="25">
        <f>G535*0.086657143</f>
        <v>0</v>
      </c>
      <c r="AP535" s="25">
        <f>G535*(1-0.086657143)</f>
        <v>0</v>
      </c>
      <c r="AQ535" s="27" t="s">
        <v>76</v>
      </c>
      <c r="AV535" s="25">
        <f t="shared" si="484"/>
        <v>0</v>
      </c>
      <c r="AW535" s="25">
        <f t="shared" si="485"/>
        <v>0</v>
      </c>
      <c r="AX535" s="25">
        <f t="shared" si="486"/>
        <v>0</v>
      </c>
      <c r="AY535" s="27" t="s">
        <v>1546</v>
      </c>
      <c r="AZ535" s="27" t="s">
        <v>1426</v>
      </c>
      <c r="BA535" s="11" t="s">
        <v>56</v>
      </c>
      <c r="BC535" s="25">
        <f t="shared" si="487"/>
        <v>0</v>
      </c>
      <c r="BD535" s="25">
        <f t="shared" si="488"/>
        <v>0</v>
      </c>
      <c r="BE535" s="25">
        <v>0</v>
      </c>
      <c r="BF535" s="25">
        <f>535</f>
        <v>535</v>
      </c>
      <c r="BH535" s="25">
        <f t="shared" si="489"/>
        <v>0</v>
      </c>
      <c r="BI535" s="25">
        <f t="shared" si="490"/>
        <v>0</v>
      </c>
      <c r="BJ535" s="25">
        <f t="shared" si="491"/>
        <v>0</v>
      </c>
      <c r="BK535" s="27" t="s">
        <v>57</v>
      </c>
      <c r="BL535" s="25">
        <v>767</v>
      </c>
      <c r="BW535" s="25">
        <v>21</v>
      </c>
      <c r="BX535" s="5" t="s">
        <v>1615</v>
      </c>
    </row>
    <row r="536" spans="1:76" x14ac:dyDescent="0.25">
      <c r="A536" s="2" t="s">
        <v>1616</v>
      </c>
      <c r="B536" s="3" t="s">
        <v>1617</v>
      </c>
      <c r="C536" s="93" t="s">
        <v>1618</v>
      </c>
      <c r="D536" s="94"/>
      <c r="E536" s="3" t="s">
        <v>52</v>
      </c>
      <c r="F536" s="25">
        <v>5</v>
      </c>
      <c r="G536" s="25">
        <v>0</v>
      </c>
      <c r="H536" s="25">
        <f t="shared" si="470"/>
        <v>0</v>
      </c>
      <c r="I536" s="25">
        <f t="shared" si="471"/>
        <v>0</v>
      </c>
      <c r="J536" s="25">
        <f t="shared" si="472"/>
        <v>0</v>
      </c>
      <c r="K536" s="26" t="s">
        <v>53</v>
      </c>
      <c r="Z536" s="25">
        <f t="shared" si="473"/>
        <v>0</v>
      </c>
      <c r="AB536" s="25">
        <f t="shared" si="474"/>
        <v>0</v>
      </c>
      <c r="AC536" s="25">
        <f t="shared" si="475"/>
        <v>0</v>
      </c>
      <c r="AD536" s="25">
        <f t="shared" si="476"/>
        <v>0</v>
      </c>
      <c r="AE536" s="25">
        <f t="shared" si="477"/>
        <v>0</v>
      </c>
      <c r="AF536" s="25">
        <f t="shared" si="478"/>
        <v>0</v>
      </c>
      <c r="AG536" s="25">
        <f t="shared" si="479"/>
        <v>0</v>
      </c>
      <c r="AH536" s="25">
        <f t="shared" si="480"/>
        <v>0</v>
      </c>
      <c r="AI536" s="11" t="s">
        <v>46</v>
      </c>
      <c r="AJ536" s="25">
        <f t="shared" si="481"/>
        <v>0</v>
      </c>
      <c r="AK536" s="25">
        <f t="shared" si="482"/>
        <v>0</v>
      </c>
      <c r="AL536" s="25">
        <f t="shared" si="483"/>
        <v>0</v>
      </c>
      <c r="AN536" s="25">
        <v>21</v>
      </c>
      <c r="AO536" s="25">
        <f>G536*0.086660099</f>
        <v>0</v>
      </c>
      <c r="AP536" s="25">
        <f>G536*(1-0.086660099)</f>
        <v>0</v>
      </c>
      <c r="AQ536" s="27" t="s">
        <v>76</v>
      </c>
      <c r="AV536" s="25">
        <f t="shared" si="484"/>
        <v>0</v>
      </c>
      <c r="AW536" s="25">
        <f t="shared" si="485"/>
        <v>0</v>
      </c>
      <c r="AX536" s="25">
        <f t="shared" si="486"/>
        <v>0</v>
      </c>
      <c r="AY536" s="27" t="s">
        <v>1546</v>
      </c>
      <c r="AZ536" s="27" t="s">
        <v>1426</v>
      </c>
      <c r="BA536" s="11" t="s">
        <v>56</v>
      </c>
      <c r="BC536" s="25">
        <f t="shared" si="487"/>
        <v>0</v>
      </c>
      <c r="BD536" s="25">
        <f t="shared" si="488"/>
        <v>0</v>
      </c>
      <c r="BE536" s="25">
        <v>0</v>
      </c>
      <c r="BF536" s="25">
        <f>536</f>
        <v>536</v>
      </c>
      <c r="BH536" s="25">
        <f t="shared" si="489"/>
        <v>0</v>
      </c>
      <c r="BI536" s="25">
        <f t="shared" si="490"/>
        <v>0</v>
      </c>
      <c r="BJ536" s="25">
        <f t="shared" si="491"/>
        <v>0</v>
      </c>
      <c r="BK536" s="27" t="s">
        <v>57</v>
      </c>
      <c r="BL536" s="25">
        <v>767</v>
      </c>
      <c r="BW536" s="25">
        <v>21</v>
      </c>
      <c r="BX536" s="5" t="s">
        <v>1618</v>
      </c>
    </row>
    <row r="537" spans="1:76" x14ac:dyDescent="0.25">
      <c r="A537" s="2" t="s">
        <v>1619</v>
      </c>
      <c r="B537" s="3" t="s">
        <v>1620</v>
      </c>
      <c r="C537" s="93" t="s">
        <v>1621</v>
      </c>
      <c r="D537" s="94"/>
      <c r="E537" s="3" t="s">
        <v>52</v>
      </c>
      <c r="F537" s="25">
        <v>17</v>
      </c>
      <c r="G537" s="25">
        <v>0</v>
      </c>
      <c r="H537" s="25">
        <f t="shared" si="470"/>
        <v>0</v>
      </c>
      <c r="I537" s="25">
        <f t="shared" si="471"/>
        <v>0</v>
      </c>
      <c r="J537" s="25">
        <f t="shared" si="472"/>
        <v>0</v>
      </c>
      <c r="K537" s="26" t="s">
        <v>53</v>
      </c>
      <c r="Z537" s="25">
        <f t="shared" si="473"/>
        <v>0</v>
      </c>
      <c r="AB537" s="25">
        <f t="shared" si="474"/>
        <v>0</v>
      </c>
      <c r="AC537" s="25">
        <f t="shared" si="475"/>
        <v>0</v>
      </c>
      <c r="AD537" s="25">
        <f t="shared" si="476"/>
        <v>0</v>
      </c>
      <c r="AE537" s="25">
        <f t="shared" si="477"/>
        <v>0</v>
      </c>
      <c r="AF537" s="25">
        <f t="shared" si="478"/>
        <v>0</v>
      </c>
      <c r="AG537" s="25">
        <f t="shared" si="479"/>
        <v>0</v>
      </c>
      <c r="AH537" s="25">
        <f t="shared" si="480"/>
        <v>0</v>
      </c>
      <c r="AI537" s="11" t="s">
        <v>46</v>
      </c>
      <c r="AJ537" s="25">
        <f t="shared" si="481"/>
        <v>0</v>
      </c>
      <c r="AK537" s="25">
        <f t="shared" si="482"/>
        <v>0</v>
      </c>
      <c r="AL537" s="25">
        <f t="shared" si="483"/>
        <v>0</v>
      </c>
      <c r="AN537" s="25">
        <v>21</v>
      </c>
      <c r="AO537" s="25">
        <f>G537*0.086657143</f>
        <v>0</v>
      </c>
      <c r="AP537" s="25">
        <f>G537*(1-0.086657143)</f>
        <v>0</v>
      </c>
      <c r="AQ537" s="27" t="s">
        <v>76</v>
      </c>
      <c r="AV537" s="25">
        <f t="shared" si="484"/>
        <v>0</v>
      </c>
      <c r="AW537" s="25">
        <f t="shared" si="485"/>
        <v>0</v>
      </c>
      <c r="AX537" s="25">
        <f t="shared" si="486"/>
        <v>0</v>
      </c>
      <c r="AY537" s="27" t="s">
        <v>1546</v>
      </c>
      <c r="AZ537" s="27" t="s">
        <v>1426</v>
      </c>
      <c r="BA537" s="11" t="s">
        <v>56</v>
      </c>
      <c r="BC537" s="25">
        <f t="shared" si="487"/>
        <v>0</v>
      </c>
      <c r="BD537" s="25">
        <f t="shared" si="488"/>
        <v>0</v>
      </c>
      <c r="BE537" s="25">
        <v>0</v>
      </c>
      <c r="BF537" s="25">
        <f>537</f>
        <v>537</v>
      </c>
      <c r="BH537" s="25">
        <f t="shared" si="489"/>
        <v>0</v>
      </c>
      <c r="BI537" s="25">
        <f t="shared" si="490"/>
        <v>0</v>
      </c>
      <c r="BJ537" s="25">
        <f t="shared" si="491"/>
        <v>0</v>
      </c>
      <c r="BK537" s="27" t="s">
        <v>57</v>
      </c>
      <c r="BL537" s="25">
        <v>767</v>
      </c>
      <c r="BW537" s="25">
        <v>21</v>
      </c>
      <c r="BX537" s="5" t="s">
        <v>1621</v>
      </c>
    </row>
    <row r="538" spans="1:76" x14ac:dyDescent="0.25">
      <c r="A538" s="2" t="s">
        <v>1622</v>
      </c>
      <c r="B538" s="3" t="s">
        <v>1623</v>
      </c>
      <c r="C538" s="93" t="s">
        <v>1624</v>
      </c>
      <c r="D538" s="94"/>
      <c r="E538" s="3" t="s">
        <v>52</v>
      </c>
      <c r="F538" s="25">
        <v>17</v>
      </c>
      <c r="G538" s="25">
        <v>0</v>
      </c>
      <c r="H538" s="25">
        <f t="shared" si="470"/>
        <v>0</v>
      </c>
      <c r="I538" s="25">
        <f t="shared" si="471"/>
        <v>0</v>
      </c>
      <c r="J538" s="25">
        <f t="shared" si="472"/>
        <v>0</v>
      </c>
      <c r="K538" s="26" t="s">
        <v>53</v>
      </c>
      <c r="Z538" s="25">
        <f t="shared" si="473"/>
        <v>0</v>
      </c>
      <c r="AB538" s="25">
        <f t="shared" si="474"/>
        <v>0</v>
      </c>
      <c r="AC538" s="25">
        <f t="shared" si="475"/>
        <v>0</v>
      </c>
      <c r="AD538" s="25">
        <f t="shared" si="476"/>
        <v>0</v>
      </c>
      <c r="AE538" s="25">
        <f t="shared" si="477"/>
        <v>0</v>
      </c>
      <c r="AF538" s="25">
        <f t="shared" si="478"/>
        <v>0</v>
      </c>
      <c r="AG538" s="25">
        <f t="shared" si="479"/>
        <v>0</v>
      </c>
      <c r="AH538" s="25">
        <f t="shared" si="480"/>
        <v>0</v>
      </c>
      <c r="AI538" s="11" t="s">
        <v>46</v>
      </c>
      <c r="AJ538" s="25">
        <f t="shared" si="481"/>
        <v>0</v>
      </c>
      <c r="AK538" s="25">
        <f t="shared" si="482"/>
        <v>0</v>
      </c>
      <c r="AL538" s="25">
        <f t="shared" si="483"/>
        <v>0</v>
      </c>
      <c r="AN538" s="25">
        <v>21</v>
      </c>
      <c r="AO538" s="25">
        <f>G538*0.086657143</f>
        <v>0</v>
      </c>
      <c r="AP538" s="25">
        <f>G538*(1-0.086657143)</f>
        <v>0</v>
      </c>
      <c r="AQ538" s="27" t="s">
        <v>76</v>
      </c>
      <c r="AV538" s="25">
        <f t="shared" si="484"/>
        <v>0</v>
      </c>
      <c r="AW538" s="25">
        <f t="shared" si="485"/>
        <v>0</v>
      </c>
      <c r="AX538" s="25">
        <f t="shared" si="486"/>
        <v>0</v>
      </c>
      <c r="AY538" s="27" t="s">
        <v>1546</v>
      </c>
      <c r="AZ538" s="27" t="s">
        <v>1426</v>
      </c>
      <c r="BA538" s="11" t="s">
        <v>56</v>
      </c>
      <c r="BC538" s="25">
        <f t="shared" si="487"/>
        <v>0</v>
      </c>
      <c r="BD538" s="25">
        <f t="shared" si="488"/>
        <v>0</v>
      </c>
      <c r="BE538" s="25">
        <v>0</v>
      </c>
      <c r="BF538" s="25">
        <f>538</f>
        <v>538</v>
      </c>
      <c r="BH538" s="25">
        <f t="shared" si="489"/>
        <v>0</v>
      </c>
      <c r="BI538" s="25">
        <f t="shared" si="490"/>
        <v>0</v>
      </c>
      <c r="BJ538" s="25">
        <f t="shared" si="491"/>
        <v>0</v>
      </c>
      <c r="BK538" s="27" t="s">
        <v>57</v>
      </c>
      <c r="BL538" s="25">
        <v>767</v>
      </c>
      <c r="BW538" s="25">
        <v>21</v>
      </c>
      <c r="BX538" s="5" t="s">
        <v>1624</v>
      </c>
    </row>
    <row r="539" spans="1:76" x14ac:dyDescent="0.25">
      <c r="A539" s="2" t="s">
        <v>1625</v>
      </c>
      <c r="B539" s="3" t="s">
        <v>1626</v>
      </c>
      <c r="C539" s="93" t="s">
        <v>1627</v>
      </c>
      <c r="D539" s="94"/>
      <c r="E539" s="3" t="s">
        <v>52</v>
      </c>
      <c r="F539" s="25">
        <v>1</v>
      </c>
      <c r="G539" s="25">
        <v>0</v>
      </c>
      <c r="H539" s="25">
        <f t="shared" si="470"/>
        <v>0</v>
      </c>
      <c r="I539" s="25">
        <f t="shared" si="471"/>
        <v>0</v>
      </c>
      <c r="J539" s="25">
        <f t="shared" si="472"/>
        <v>0</v>
      </c>
      <c r="K539" s="26" t="s">
        <v>53</v>
      </c>
      <c r="Z539" s="25">
        <f t="shared" si="473"/>
        <v>0</v>
      </c>
      <c r="AB539" s="25">
        <f t="shared" si="474"/>
        <v>0</v>
      </c>
      <c r="AC539" s="25">
        <f t="shared" si="475"/>
        <v>0</v>
      </c>
      <c r="AD539" s="25">
        <f t="shared" si="476"/>
        <v>0</v>
      </c>
      <c r="AE539" s="25">
        <f t="shared" si="477"/>
        <v>0</v>
      </c>
      <c r="AF539" s="25">
        <f t="shared" si="478"/>
        <v>0</v>
      </c>
      <c r="AG539" s="25">
        <f t="shared" si="479"/>
        <v>0</v>
      </c>
      <c r="AH539" s="25">
        <f t="shared" si="480"/>
        <v>0</v>
      </c>
      <c r="AI539" s="11" t="s">
        <v>46</v>
      </c>
      <c r="AJ539" s="25">
        <f t="shared" si="481"/>
        <v>0</v>
      </c>
      <c r="AK539" s="25">
        <f t="shared" si="482"/>
        <v>0</v>
      </c>
      <c r="AL539" s="25">
        <f t="shared" si="483"/>
        <v>0</v>
      </c>
      <c r="AN539" s="25">
        <v>21</v>
      </c>
      <c r="AO539" s="25">
        <f>G539*0.08664</f>
        <v>0</v>
      </c>
      <c r="AP539" s="25">
        <f>G539*(1-0.08664)</f>
        <v>0</v>
      </c>
      <c r="AQ539" s="27" t="s">
        <v>76</v>
      </c>
      <c r="AV539" s="25">
        <f t="shared" si="484"/>
        <v>0</v>
      </c>
      <c r="AW539" s="25">
        <f t="shared" si="485"/>
        <v>0</v>
      </c>
      <c r="AX539" s="25">
        <f t="shared" si="486"/>
        <v>0</v>
      </c>
      <c r="AY539" s="27" t="s">
        <v>1546</v>
      </c>
      <c r="AZ539" s="27" t="s">
        <v>1426</v>
      </c>
      <c r="BA539" s="11" t="s">
        <v>56</v>
      </c>
      <c r="BC539" s="25">
        <f t="shared" si="487"/>
        <v>0</v>
      </c>
      <c r="BD539" s="25">
        <f t="shared" si="488"/>
        <v>0</v>
      </c>
      <c r="BE539" s="25">
        <v>0</v>
      </c>
      <c r="BF539" s="25">
        <f>539</f>
        <v>539</v>
      </c>
      <c r="BH539" s="25">
        <f t="shared" si="489"/>
        <v>0</v>
      </c>
      <c r="BI539" s="25">
        <f t="shared" si="490"/>
        <v>0</v>
      </c>
      <c r="BJ539" s="25">
        <f t="shared" si="491"/>
        <v>0</v>
      </c>
      <c r="BK539" s="27" t="s">
        <v>57</v>
      </c>
      <c r="BL539" s="25">
        <v>767</v>
      </c>
      <c r="BW539" s="25">
        <v>21</v>
      </c>
      <c r="BX539" s="5" t="s">
        <v>1627</v>
      </c>
    </row>
    <row r="540" spans="1:76" x14ac:dyDescent="0.25">
      <c r="A540" s="2" t="s">
        <v>1628</v>
      </c>
      <c r="B540" s="3" t="s">
        <v>1629</v>
      </c>
      <c r="C540" s="93" t="s">
        <v>1630</v>
      </c>
      <c r="D540" s="94"/>
      <c r="E540" s="3" t="s">
        <v>52</v>
      </c>
      <c r="F540" s="25">
        <v>1</v>
      </c>
      <c r="G540" s="25">
        <v>0</v>
      </c>
      <c r="H540" s="25">
        <f t="shared" si="470"/>
        <v>0</v>
      </c>
      <c r="I540" s="25">
        <f t="shared" si="471"/>
        <v>0</v>
      </c>
      <c r="J540" s="25">
        <f t="shared" si="472"/>
        <v>0</v>
      </c>
      <c r="K540" s="26" t="s">
        <v>53</v>
      </c>
      <c r="Z540" s="25">
        <f t="shared" si="473"/>
        <v>0</v>
      </c>
      <c r="AB540" s="25">
        <f t="shared" si="474"/>
        <v>0</v>
      </c>
      <c r="AC540" s="25">
        <f t="shared" si="475"/>
        <v>0</v>
      </c>
      <c r="AD540" s="25">
        <f t="shared" si="476"/>
        <v>0</v>
      </c>
      <c r="AE540" s="25">
        <f t="shared" si="477"/>
        <v>0</v>
      </c>
      <c r="AF540" s="25">
        <f t="shared" si="478"/>
        <v>0</v>
      </c>
      <c r="AG540" s="25">
        <f t="shared" si="479"/>
        <v>0</v>
      </c>
      <c r="AH540" s="25">
        <f t="shared" si="480"/>
        <v>0</v>
      </c>
      <c r="AI540" s="11" t="s">
        <v>46</v>
      </c>
      <c r="AJ540" s="25">
        <f t="shared" si="481"/>
        <v>0</v>
      </c>
      <c r="AK540" s="25">
        <f t="shared" si="482"/>
        <v>0</v>
      </c>
      <c r="AL540" s="25">
        <f t="shared" si="483"/>
        <v>0</v>
      </c>
      <c r="AN540" s="25">
        <v>21</v>
      </c>
      <c r="AO540" s="25">
        <f>G540*0.086662857</f>
        <v>0</v>
      </c>
      <c r="AP540" s="25">
        <f>G540*(1-0.086662857)</f>
        <v>0</v>
      </c>
      <c r="AQ540" s="27" t="s">
        <v>76</v>
      </c>
      <c r="AV540" s="25">
        <f t="shared" si="484"/>
        <v>0</v>
      </c>
      <c r="AW540" s="25">
        <f t="shared" si="485"/>
        <v>0</v>
      </c>
      <c r="AX540" s="25">
        <f t="shared" si="486"/>
        <v>0</v>
      </c>
      <c r="AY540" s="27" t="s">
        <v>1546</v>
      </c>
      <c r="AZ540" s="27" t="s">
        <v>1426</v>
      </c>
      <c r="BA540" s="11" t="s">
        <v>56</v>
      </c>
      <c r="BC540" s="25">
        <f t="shared" si="487"/>
        <v>0</v>
      </c>
      <c r="BD540" s="25">
        <f t="shared" si="488"/>
        <v>0</v>
      </c>
      <c r="BE540" s="25">
        <v>0</v>
      </c>
      <c r="BF540" s="25">
        <f>540</f>
        <v>540</v>
      </c>
      <c r="BH540" s="25">
        <f t="shared" si="489"/>
        <v>0</v>
      </c>
      <c r="BI540" s="25">
        <f t="shared" si="490"/>
        <v>0</v>
      </c>
      <c r="BJ540" s="25">
        <f t="shared" si="491"/>
        <v>0</v>
      </c>
      <c r="BK540" s="27" t="s">
        <v>57</v>
      </c>
      <c r="BL540" s="25">
        <v>767</v>
      </c>
      <c r="BW540" s="25">
        <v>21</v>
      </c>
      <c r="BX540" s="5" t="s">
        <v>1630</v>
      </c>
    </row>
    <row r="541" spans="1:76" x14ac:dyDescent="0.25">
      <c r="A541" s="2" t="s">
        <v>1631</v>
      </c>
      <c r="B541" s="3" t="s">
        <v>1632</v>
      </c>
      <c r="C541" s="93" t="s">
        <v>1633</v>
      </c>
      <c r="D541" s="94"/>
      <c r="E541" s="3" t="s">
        <v>131</v>
      </c>
      <c r="F541" s="25">
        <v>220</v>
      </c>
      <c r="G541" s="25">
        <v>0</v>
      </c>
      <c r="H541" s="25">
        <f t="shared" si="470"/>
        <v>0</v>
      </c>
      <c r="I541" s="25">
        <f t="shared" si="471"/>
        <v>0</v>
      </c>
      <c r="J541" s="25">
        <f t="shared" si="472"/>
        <v>0</v>
      </c>
      <c r="K541" s="26" t="s">
        <v>53</v>
      </c>
      <c r="Z541" s="25">
        <f t="shared" si="473"/>
        <v>0</v>
      </c>
      <c r="AB541" s="25">
        <f t="shared" si="474"/>
        <v>0</v>
      </c>
      <c r="AC541" s="25">
        <f t="shared" si="475"/>
        <v>0</v>
      </c>
      <c r="AD541" s="25">
        <f t="shared" si="476"/>
        <v>0</v>
      </c>
      <c r="AE541" s="25">
        <f t="shared" si="477"/>
        <v>0</v>
      </c>
      <c r="AF541" s="25">
        <f t="shared" si="478"/>
        <v>0</v>
      </c>
      <c r="AG541" s="25">
        <f t="shared" si="479"/>
        <v>0</v>
      </c>
      <c r="AH541" s="25">
        <f t="shared" si="480"/>
        <v>0</v>
      </c>
      <c r="AI541" s="11" t="s">
        <v>46</v>
      </c>
      <c r="AJ541" s="25">
        <f t="shared" si="481"/>
        <v>0</v>
      </c>
      <c r="AK541" s="25">
        <f t="shared" si="482"/>
        <v>0</v>
      </c>
      <c r="AL541" s="25">
        <f t="shared" si="483"/>
        <v>0</v>
      </c>
      <c r="AN541" s="25">
        <v>21</v>
      </c>
      <c r="AO541" s="25">
        <f>G541*0.086657682</f>
        <v>0</v>
      </c>
      <c r="AP541" s="25">
        <f>G541*(1-0.086657682)</f>
        <v>0</v>
      </c>
      <c r="AQ541" s="27" t="s">
        <v>76</v>
      </c>
      <c r="AV541" s="25">
        <f t="shared" si="484"/>
        <v>0</v>
      </c>
      <c r="AW541" s="25">
        <f t="shared" si="485"/>
        <v>0</v>
      </c>
      <c r="AX541" s="25">
        <f t="shared" si="486"/>
        <v>0</v>
      </c>
      <c r="AY541" s="27" t="s">
        <v>1546</v>
      </c>
      <c r="AZ541" s="27" t="s">
        <v>1426</v>
      </c>
      <c r="BA541" s="11" t="s">
        <v>56</v>
      </c>
      <c r="BC541" s="25">
        <f t="shared" si="487"/>
        <v>0</v>
      </c>
      <c r="BD541" s="25">
        <f t="shared" si="488"/>
        <v>0</v>
      </c>
      <c r="BE541" s="25">
        <v>0</v>
      </c>
      <c r="BF541" s="25">
        <f>541</f>
        <v>541</v>
      </c>
      <c r="BH541" s="25">
        <f t="shared" si="489"/>
        <v>0</v>
      </c>
      <c r="BI541" s="25">
        <f t="shared" si="490"/>
        <v>0</v>
      </c>
      <c r="BJ541" s="25">
        <f t="shared" si="491"/>
        <v>0</v>
      </c>
      <c r="BK541" s="27" t="s">
        <v>57</v>
      </c>
      <c r="BL541" s="25">
        <v>767</v>
      </c>
      <c r="BW541" s="25">
        <v>21</v>
      </c>
      <c r="BX541" s="5" t="s">
        <v>1633</v>
      </c>
    </row>
    <row r="542" spans="1:76" x14ac:dyDescent="0.25">
      <c r="A542" s="2" t="s">
        <v>1634</v>
      </c>
      <c r="B542" s="3" t="s">
        <v>1635</v>
      </c>
      <c r="C542" s="93" t="s">
        <v>1636</v>
      </c>
      <c r="D542" s="94"/>
      <c r="E542" s="3" t="s">
        <v>131</v>
      </c>
      <c r="F542" s="25">
        <v>45</v>
      </c>
      <c r="G542" s="25">
        <v>0</v>
      </c>
      <c r="H542" s="25">
        <f t="shared" si="470"/>
        <v>0</v>
      </c>
      <c r="I542" s="25">
        <f t="shared" si="471"/>
        <v>0</v>
      </c>
      <c r="J542" s="25">
        <f t="shared" si="472"/>
        <v>0</v>
      </c>
      <c r="K542" s="26" t="s">
        <v>53</v>
      </c>
      <c r="Z542" s="25">
        <f t="shared" si="473"/>
        <v>0</v>
      </c>
      <c r="AB542" s="25">
        <f t="shared" si="474"/>
        <v>0</v>
      </c>
      <c r="AC542" s="25">
        <f t="shared" si="475"/>
        <v>0</v>
      </c>
      <c r="AD542" s="25">
        <f t="shared" si="476"/>
        <v>0</v>
      </c>
      <c r="AE542" s="25">
        <f t="shared" si="477"/>
        <v>0</v>
      </c>
      <c r="AF542" s="25">
        <f t="shared" si="478"/>
        <v>0</v>
      </c>
      <c r="AG542" s="25">
        <f t="shared" si="479"/>
        <v>0</v>
      </c>
      <c r="AH542" s="25">
        <f t="shared" si="480"/>
        <v>0</v>
      </c>
      <c r="AI542" s="11" t="s">
        <v>46</v>
      </c>
      <c r="AJ542" s="25">
        <f t="shared" si="481"/>
        <v>0</v>
      </c>
      <c r="AK542" s="25">
        <f t="shared" si="482"/>
        <v>0</v>
      </c>
      <c r="AL542" s="25">
        <f t="shared" si="483"/>
        <v>0</v>
      </c>
      <c r="AN542" s="25">
        <v>21</v>
      </c>
      <c r="AO542" s="25">
        <f>G542*0.086663498</f>
        <v>0</v>
      </c>
      <c r="AP542" s="25">
        <f>G542*(1-0.086663498)</f>
        <v>0</v>
      </c>
      <c r="AQ542" s="27" t="s">
        <v>76</v>
      </c>
      <c r="AV542" s="25">
        <f t="shared" si="484"/>
        <v>0</v>
      </c>
      <c r="AW542" s="25">
        <f t="shared" si="485"/>
        <v>0</v>
      </c>
      <c r="AX542" s="25">
        <f t="shared" si="486"/>
        <v>0</v>
      </c>
      <c r="AY542" s="27" t="s">
        <v>1546</v>
      </c>
      <c r="AZ542" s="27" t="s">
        <v>1426</v>
      </c>
      <c r="BA542" s="11" t="s">
        <v>56</v>
      </c>
      <c r="BC542" s="25">
        <f t="shared" si="487"/>
        <v>0</v>
      </c>
      <c r="BD542" s="25">
        <f t="shared" si="488"/>
        <v>0</v>
      </c>
      <c r="BE542" s="25">
        <v>0</v>
      </c>
      <c r="BF542" s="25">
        <f>542</f>
        <v>542</v>
      </c>
      <c r="BH542" s="25">
        <f t="shared" si="489"/>
        <v>0</v>
      </c>
      <c r="BI542" s="25">
        <f t="shared" si="490"/>
        <v>0</v>
      </c>
      <c r="BJ542" s="25">
        <f t="shared" si="491"/>
        <v>0</v>
      </c>
      <c r="BK542" s="27" t="s">
        <v>57</v>
      </c>
      <c r="BL542" s="25">
        <v>767</v>
      </c>
      <c r="BW542" s="25">
        <v>21</v>
      </c>
      <c r="BX542" s="5" t="s">
        <v>1636</v>
      </c>
    </row>
    <row r="543" spans="1:76" x14ac:dyDescent="0.25">
      <c r="A543" s="2" t="s">
        <v>1637</v>
      </c>
      <c r="B543" s="3" t="s">
        <v>1638</v>
      </c>
      <c r="C543" s="93" t="s">
        <v>1639</v>
      </c>
      <c r="D543" s="94"/>
      <c r="E543" s="3" t="s">
        <v>131</v>
      </c>
      <c r="F543" s="25">
        <v>85</v>
      </c>
      <c r="G543" s="25">
        <v>0</v>
      </c>
      <c r="H543" s="25">
        <f t="shared" si="470"/>
        <v>0</v>
      </c>
      <c r="I543" s="25">
        <f t="shared" si="471"/>
        <v>0</v>
      </c>
      <c r="J543" s="25">
        <f t="shared" si="472"/>
        <v>0</v>
      </c>
      <c r="K543" s="26" t="s">
        <v>53</v>
      </c>
      <c r="Z543" s="25">
        <f t="shared" si="473"/>
        <v>0</v>
      </c>
      <c r="AB543" s="25">
        <f t="shared" si="474"/>
        <v>0</v>
      </c>
      <c r="AC543" s="25">
        <f t="shared" si="475"/>
        <v>0</v>
      </c>
      <c r="AD543" s="25">
        <f t="shared" si="476"/>
        <v>0</v>
      </c>
      <c r="AE543" s="25">
        <f t="shared" si="477"/>
        <v>0</v>
      </c>
      <c r="AF543" s="25">
        <f t="shared" si="478"/>
        <v>0</v>
      </c>
      <c r="AG543" s="25">
        <f t="shared" si="479"/>
        <v>0</v>
      </c>
      <c r="AH543" s="25">
        <f t="shared" si="480"/>
        <v>0</v>
      </c>
      <c r="AI543" s="11" t="s">
        <v>46</v>
      </c>
      <c r="AJ543" s="25">
        <f t="shared" si="481"/>
        <v>0</v>
      </c>
      <c r="AK543" s="25">
        <f t="shared" si="482"/>
        <v>0</v>
      </c>
      <c r="AL543" s="25">
        <f t="shared" si="483"/>
        <v>0</v>
      </c>
      <c r="AN543" s="25">
        <v>21</v>
      </c>
      <c r="AO543" s="25">
        <f>G543*0.086665254</f>
        <v>0</v>
      </c>
      <c r="AP543" s="25">
        <f>G543*(1-0.086665254)</f>
        <v>0</v>
      </c>
      <c r="AQ543" s="27" t="s">
        <v>76</v>
      </c>
      <c r="AV543" s="25">
        <f t="shared" si="484"/>
        <v>0</v>
      </c>
      <c r="AW543" s="25">
        <f t="shared" si="485"/>
        <v>0</v>
      </c>
      <c r="AX543" s="25">
        <f t="shared" si="486"/>
        <v>0</v>
      </c>
      <c r="AY543" s="27" t="s">
        <v>1546</v>
      </c>
      <c r="AZ543" s="27" t="s">
        <v>1426</v>
      </c>
      <c r="BA543" s="11" t="s">
        <v>56</v>
      </c>
      <c r="BC543" s="25">
        <f t="shared" si="487"/>
        <v>0</v>
      </c>
      <c r="BD543" s="25">
        <f t="shared" si="488"/>
        <v>0</v>
      </c>
      <c r="BE543" s="25">
        <v>0</v>
      </c>
      <c r="BF543" s="25">
        <f>543</f>
        <v>543</v>
      </c>
      <c r="BH543" s="25">
        <f t="shared" si="489"/>
        <v>0</v>
      </c>
      <c r="BI543" s="25">
        <f t="shared" si="490"/>
        <v>0</v>
      </c>
      <c r="BJ543" s="25">
        <f t="shared" si="491"/>
        <v>0</v>
      </c>
      <c r="BK543" s="27" t="s">
        <v>57</v>
      </c>
      <c r="BL543" s="25">
        <v>767</v>
      </c>
      <c r="BW543" s="25">
        <v>21</v>
      </c>
      <c r="BX543" s="5" t="s">
        <v>1639</v>
      </c>
    </row>
    <row r="544" spans="1:76" x14ac:dyDescent="0.25">
      <c r="A544" s="2" t="s">
        <v>1640</v>
      </c>
      <c r="B544" s="3" t="s">
        <v>1641</v>
      </c>
      <c r="C544" s="93" t="s">
        <v>1642</v>
      </c>
      <c r="D544" s="94"/>
      <c r="E544" s="3" t="s">
        <v>131</v>
      </c>
      <c r="F544" s="25">
        <v>35</v>
      </c>
      <c r="G544" s="25">
        <v>0</v>
      </c>
      <c r="H544" s="25">
        <f t="shared" si="470"/>
        <v>0</v>
      </c>
      <c r="I544" s="25">
        <f t="shared" si="471"/>
        <v>0</v>
      </c>
      <c r="J544" s="25">
        <f t="shared" si="472"/>
        <v>0</v>
      </c>
      <c r="K544" s="26" t="s">
        <v>53</v>
      </c>
      <c r="Z544" s="25">
        <f t="shared" si="473"/>
        <v>0</v>
      </c>
      <c r="AB544" s="25">
        <f t="shared" si="474"/>
        <v>0</v>
      </c>
      <c r="AC544" s="25">
        <f t="shared" si="475"/>
        <v>0</v>
      </c>
      <c r="AD544" s="25">
        <f t="shared" si="476"/>
        <v>0</v>
      </c>
      <c r="AE544" s="25">
        <f t="shared" si="477"/>
        <v>0</v>
      </c>
      <c r="AF544" s="25">
        <f t="shared" si="478"/>
        <v>0</v>
      </c>
      <c r="AG544" s="25">
        <f t="shared" si="479"/>
        <v>0</v>
      </c>
      <c r="AH544" s="25">
        <f t="shared" si="480"/>
        <v>0</v>
      </c>
      <c r="AI544" s="11" t="s">
        <v>46</v>
      </c>
      <c r="AJ544" s="25">
        <f t="shared" si="481"/>
        <v>0</v>
      </c>
      <c r="AK544" s="25">
        <f t="shared" si="482"/>
        <v>0</v>
      </c>
      <c r="AL544" s="25">
        <f t="shared" si="483"/>
        <v>0</v>
      </c>
      <c r="AN544" s="25">
        <v>21</v>
      </c>
      <c r="AO544" s="25">
        <f>G544*0.086665584</f>
        <v>0</v>
      </c>
      <c r="AP544" s="25">
        <f>G544*(1-0.086665584)</f>
        <v>0</v>
      </c>
      <c r="AQ544" s="27" t="s">
        <v>76</v>
      </c>
      <c r="AV544" s="25">
        <f t="shared" si="484"/>
        <v>0</v>
      </c>
      <c r="AW544" s="25">
        <f t="shared" si="485"/>
        <v>0</v>
      </c>
      <c r="AX544" s="25">
        <f t="shared" si="486"/>
        <v>0</v>
      </c>
      <c r="AY544" s="27" t="s">
        <v>1546</v>
      </c>
      <c r="AZ544" s="27" t="s">
        <v>1426</v>
      </c>
      <c r="BA544" s="11" t="s">
        <v>56</v>
      </c>
      <c r="BC544" s="25">
        <f t="shared" si="487"/>
        <v>0</v>
      </c>
      <c r="BD544" s="25">
        <f t="shared" si="488"/>
        <v>0</v>
      </c>
      <c r="BE544" s="25">
        <v>0</v>
      </c>
      <c r="BF544" s="25">
        <f>544</f>
        <v>544</v>
      </c>
      <c r="BH544" s="25">
        <f t="shared" si="489"/>
        <v>0</v>
      </c>
      <c r="BI544" s="25">
        <f t="shared" si="490"/>
        <v>0</v>
      </c>
      <c r="BJ544" s="25">
        <f t="shared" si="491"/>
        <v>0</v>
      </c>
      <c r="BK544" s="27" t="s">
        <v>57</v>
      </c>
      <c r="BL544" s="25">
        <v>767</v>
      </c>
      <c r="BW544" s="25">
        <v>21</v>
      </c>
      <c r="BX544" s="5" t="s">
        <v>1642</v>
      </c>
    </row>
    <row r="545" spans="1:76" x14ac:dyDescent="0.25">
      <c r="A545" s="2" t="s">
        <v>1643</v>
      </c>
      <c r="B545" s="3" t="s">
        <v>1644</v>
      </c>
      <c r="C545" s="93" t="s">
        <v>1645</v>
      </c>
      <c r="D545" s="94"/>
      <c r="E545" s="3" t="s">
        <v>71</v>
      </c>
      <c r="F545" s="25">
        <v>10.853</v>
      </c>
      <c r="G545" s="25">
        <v>0</v>
      </c>
      <c r="H545" s="25">
        <f t="shared" si="470"/>
        <v>0</v>
      </c>
      <c r="I545" s="25">
        <f t="shared" si="471"/>
        <v>0</v>
      </c>
      <c r="J545" s="25">
        <f t="shared" si="472"/>
        <v>0</v>
      </c>
      <c r="K545" s="26" t="s">
        <v>53</v>
      </c>
      <c r="Z545" s="25">
        <f t="shared" si="473"/>
        <v>0</v>
      </c>
      <c r="AB545" s="25">
        <f t="shared" si="474"/>
        <v>0</v>
      </c>
      <c r="AC545" s="25">
        <f t="shared" si="475"/>
        <v>0</v>
      </c>
      <c r="AD545" s="25">
        <f t="shared" si="476"/>
        <v>0</v>
      </c>
      <c r="AE545" s="25">
        <f t="shared" si="477"/>
        <v>0</v>
      </c>
      <c r="AF545" s="25">
        <f t="shared" si="478"/>
        <v>0</v>
      </c>
      <c r="AG545" s="25">
        <f t="shared" si="479"/>
        <v>0</v>
      </c>
      <c r="AH545" s="25">
        <f t="shared" si="480"/>
        <v>0</v>
      </c>
      <c r="AI545" s="11" t="s">
        <v>46</v>
      </c>
      <c r="AJ545" s="25">
        <f t="shared" si="481"/>
        <v>0</v>
      </c>
      <c r="AK545" s="25">
        <f t="shared" si="482"/>
        <v>0</v>
      </c>
      <c r="AL545" s="25">
        <f t="shared" si="483"/>
        <v>0</v>
      </c>
      <c r="AN545" s="25">
        <v>21</v>
      </c>
      <c r="AO545" s="25">
        <f>G545*0</f>
        <v>0</v>
      </c>
      <c r="AP545" s="25">
        <f>G545*(1-0)</f>
        <v>0</v>
      </c>
      <c r="AQ545" s="27" t="s">
        <v>68</v>
      </c>
      <c r="AV545" s="25">
        <f t="shared" si="484"/>
        <v>0</v>
      </c>
      <c r="AW545" s="25">
        <f t="shared" si="485"/>
        <v>0</v>
      </c>
      <c r="AX545" s="25">
        <f t="shared" si="486"/>
        <v>0</v>
      </c>
      <c r="AY545" s="27" t="s">
        <v>1546</v>
      </c>
      <c r="AZ545" s="27" t="s">
        <v>1426</v>
      </c>
      <c r="BA545" s="11" t="s">
        <v>56</v>
      </c>
      <c r="BC545" s="25">
        <f t="shared" si="487"/>
        <v>0</v>
      </c>
      <c r="BD545" s="25">
        <f t="shared" si="488"/>
        <v>0</v>
      </c>
      <c r="BE545" s="25">
        <v>0</v>
      </c>
      <c r="BF545" s="25">
        <f>545</f>
        <v>545</v>
      </c>
      <c r="BH545" s="25">
        <f t="shared" si="489"/>
        <v>0</v>
      </c>
      <c r="BI545" s="25">
        <f t="shared" si="490"/>
        <v>0</v>
      </c>
      <c r="BJ545" s="25">
        <f t="shared" si="491"/>
        <v>0</v>
      </c>
      <c r="BK545" s="27" t="s">
        <v>57</v>
      </c>
      <c r="BL545" s="25">
        <v>767</v>
      </c>
      <c r="BW545" s="25">
        <v>21</v>
      </c>
      <c r="BX545" s="5" t="s">
        <v>1645</v>
      </c>
    </row>
    <row r="546" spans="1:76" x14ac:dyDescent="0.25">
      <c r="A546" s="28" t="s">
        <v>46</v>
      </c>
      <c r="B546" s="29" t="s">
        <v>1646</v>
      </c>
      <c r="C546" s="150" t="s">
        <v>1647</v>
      </c>
      <c r="D546" s="151"/>
      <c r="E546" s="30" t="s">
        <v>4</v>
      </c>
      <c r="F546" s="30" t="s">
        <v>4</v>
      </c>
      <c r="G546" s="30" t="s">
        <v>4</v>
      </c>
      <c r="H546" s="1">
        <f>ROUND(SUM(H547:H556),1)</f>
        <v>0</v>
      </c>
      <c r="I546" s="1">
        <f>ROUND(SUM(I547:I556),1)</f>
        <v>0</v>
      </c>
      <c r="J546" s="1">
        <f>ROUND(SUM(J547:J556),1)</f>
        <v>0</v>
      </c>
      <c r="K546" s="31" t="s">
        <v>46</v>
      </c>
      <c r="AI546" s="11" t="s">
        <v>46</v>
      </c>
      <c r="AS546" s="1">
        <f>SUM(AJ547:AJ556)</f>
        <v>0</v>
      </c>
      <c r="AT546" s="1">
        <f>SUM(AK547:AK556)</f>
        <v>0</v>
      </c>
      <c r="AU546" s="1">
        <f>SUM(AL547:AL556)</f>
        <v>0</v>
      </c>
    </row>
    <row r="547" spans="1:76" x14ac:dyDescent="0.25">
      <c r="A547" s="2" t="s">
        <v>1648</v>
      </c>
      <c r="B547" s="3" t="s">
        <v>1649</v>
      </c>
      <c r="C547" s="93" t="s">
        <v>1650</v>
      </c>
      <c r="D547" s="94"/>
      <c r="E547" s="3" t="s">
        <v>93</v>
      </c>
      <c r="F547" s="25">
        <v>48.55</v>
      </c>
      <c r="G547" s="25">
        <v>0</v>
      </c>
      <c r="H547" s="25">
        <f t="shared" ref="H547:H556" si="492">ROUND(F547*AO547,2)</f>
        <v>0</v>
      </c>
      <c r="I547" s="25">
        <f t="shared" ref="I547:I556" si="493">ROUND(F547*AP547,2)</f>
        <v>0</v>
      </c>
      <c r="J547" s="25">
        <f t="shared" ref="J547:J556" si="494">ROUND(F547*G547,1)</f>
        <v>0</v>
      </c>
      <c r="K547" s="26" t="s">
        <v>53</v>
      </c>
      <c r="Z547" s="25">
        <f t="shared" ref="Z547:Z556" si="495">ROUND(IF(AQ547="5",BJ547,0),2)</f>
        <v>0</v>
      </c>
      <c r="AB547" s="25">
        <f t="shared" ref="AB547:AB556" si="496">ROUND(IF(AQ547="1",BH547,0),2)</f>
        <v>0</v>
      </c>
      <c r="AC547" s="25">
        <f t="shared" ref="AC547:AC556" si="497">ROUND(IF(AQ547="1",BI547,0),2)</f>
        <v>0</v>
      </c>
      <c r="AD547" s="25">
        <f t="shared" ref="AD547:AD556" si="498">ROUND(IF(AQ547="7",BH547,0),2)</f>
        <v>0</v>
      </c>
      <c r="AE547" s="25">
        <f t="shared" ref="AE547:AE556" si="499">ROUND(IF(AQ547="7",BI547,0),2)</f>
        <v>0</v>
      </c>
      <c r="AF547" s="25">
        <f t="shared" ref="AF547:AF556" si="500">ROUND(IF(AQ547="2",BH547,0),2)</f>
        <v>0</v>
      </c>
      <c r="AG547" s="25">
        <f t="shared" ref="AG547:AG556" si="501">ROUND(IF(AQ547="2",BI547,0),2)</f>
        <v>0</v>
      </c>
      <c r="AH547" s="25">
        <f t="shared" ref="AH547:AH556" si="502">ROUND(IF(AQ547="0",BJ547,0),2)</f>
        <v>0</v>
      </c>
      <c r="AI547" s="11" t="s">
        <v>46</v>
      </c>
      <c r="AJ547" s="25">
        <f t="shared" ref="AJ547:AJ556" si="503">IF(AN547=0,J547,0)</f>
        <v>0</v>
      </c>
      <c r="AK547" s="25">
        <f t="shared" ref="AK547:AK556" si="504">IF(AN547=12,J547,0)</f>
        <v>0</v>
      </c>
      <c r="AL547" s="25">
        <f t="shared" ref="AL547:AL556" si="505">IF(AN547=21,J547,0)</f>
        <v>0</v>
      </c>
      <c r="AN547" s="25">
        <v>21</v>
      </c>
      <c r="AO547" s="25">
        <f>G547*0</f>
        <v>0</v>
      </c>
      <c r="AP547" s="25">
        <f>G547*(1-0)</f>
        <v>0</v>
      </c>
      <c r="AQ547" s="27" t="s">
        <v>76</v>
      </c>
      <c r="AV547" s="25">
        <f t="shared" ref="AV547:AV556" si="506">ROUND(AW547+AX547,2)</f>
        <v>0</v>
      </c>
      <c r="AW547" s="25">
        <f t="shared" ref="AW547:AW556" si="507">ROUND(F547*AO547,2)</f>
        <v>0</v>
      </c>
      <c r="AX547" s="25">
        <f t="shared" ref="AX547:AX556" si="508">ROUND(F547*AP547,2)</f>
        <v>0</v>
      </c>
      <c r="AY547" s="27" t="s">
        <v>1651</v>
      </c>
      <c r="AZ547" s="27" t="s">
        <v>1652</v>
      </c>
      <c r="BA547" s="11" t="s">
        <v>56</v>
      </c>
      <c r="BC547" s="25">
        <f t="shared" ref="BC547:BC556" si="509">AW547+AX547</f>
        <v>0</v>
      </c>
      <c r="BD547" s="25">
        <f t="shared" ref="BD547:BD556" si="510">G547/(100-BE547)*100</f>
        <v>0</v>
      </c>
      <c r="BE547" s="25">
        <v>0</v>
      </c>
      <c r="BF547" s="25">
        <f>547</f>
        <v>547</v>
      </c>
      <c r="BH547" s="25">
        <f t="shared" ref="BH547:BH556" si="511">F547*AO547</f>
        <v>0</v>
      </c>
      <c r="BI547" s="25">
        <f t="shared" ref="BI547:BI556" si="512">F547*AP547</f>
        <v>0</v>
      </c>
      <c r="BJ547" s="25">
        <f t="shared" ref="BJ547:BJ556" si="513">F547*G547</f>
        <v>0</v>
      </c>
      <c r="BK547" s="27" t="s">
        <v>57</v>
      </c>
      <c r="BL547" s="25">
        <v>771</v>
      </c>
      <c r="BW547" s="25">
        <v>21</v>
      </c>
      <c r="BX547" s="5" t="s">
        <v>1650</v>
      </c>
    </row>
    <row r="548" spans="1:76" x14ac:dyDescent="0.25">
      <c r="A548" s="2" t="s">
        <v>1653</v>
      </c>
      <c r="B548" s="3" t="s">
        <v>1654</v>
      </c>
      <c r="C548" s="93" t="s">
        <v>1655</v>
      </c>
      <c r="D548" s="94"/>
      <c r="E548" s="3" t="s">
        <v>93</v>
      </c>
      <c r="F548" s="25">
        <v>48.55</v>
      </c>
      <c r="G548" s="25">
        <v>0</v>
      </c>
      <c r="H548" s="25">
        <f t="shared" si="492"/>
        <v>0</v>
      </c>
      <c r="I548" s="25">
        <f t="shared" si="493"/>
        <v>0</v>
      </c>
      <c r="J548" s="25">
        <f t="shared" si="494"/>
        <v>0</v>
      </c>
      <c r="K548" s="26" t="s">
        <v>53</v>
      </c>
      <c r="Z548" s="25">
        <f t="shared" si="495"/>
        <v>0</v>
      </c>
      <c r="AB548" s="25">
        <f t="shared" si="496"/>
        <v>0</v>
      </c>
      <c r="AC548" s="25">
        <f t="shared" si="497"/>
        <v>0</v>
      </c>
      <c r="AD548" s="25">
        <f t="shared" si="498"/>
        <v>0</v>
      </c>
      <c r="AE548" s="25">
        <f t="shared" si="499"/>
        <v>0</v>
      </c>
      <c r="AF548" s="25">
        <f t="shared" si="500"/>
        <v>0</v>
      </c>
      <c r="AG548" s="25">
        <f t="shared" si="501"/>
        <v>0</v>
      </c>
      <c r="AH548" s="25">
        <f t="shared" si="502"/>
        <v>0</v>
      </c>
      <c r="AI548" s="11" t="s">
        <v>46</v>
      </c>
      <c r="AJ548" s="25">
        <f t="shared" si="503"/>
        <v>0</v>
      </c>
      <c r="AK548" s="25">
        <f t="shared" si="504"/>
        <v>0</v>
      </c>
      <c r="AL548" s="25">
        <f t="shared" si="505"/>
        <v>0</v>
      </c>
      <c r="AN548" s="25">
        <v>21</v>
      </c>
      <c r="AO548" s="25">
        <f>G548*0.42253879</f>
        <v>0</v>
      </c>
      <c r="AP548" s="25">
        <f>G548*(1-0.42253879)</f>
        <v>0</v>
      </c>
      <c r="AQ548" s="27" t="s">
        <v>76</v>
      </c>
      <c r="AV548" s="25">
        <f t="shared" si="506"/>
        <v>0</v>
      </c>
      <c r="AW548" s="25">
        <f t="shared" si="507"/>
        <v>0</v>
      </c>
      <c r="AX548" s="25">
        <f t="shared" si="508"/>
        <v>0</v>
      </c>
      <c r="AY548" s="27" t="s">
        <v>1651</v>
      </c>
      <c r="AZ548" s="27" t="s">
        <v>1652</v>
      </c>
      <c r="BA548" s="11" t="s">
        <v>56</v>
      </c>
      <c r="BC548" s="25">
        <f t="shared" si="509"/>
        <v>0</v>
      </c>
      <c r="BD548" s="25">
        <f t="shared" si="510"/>
        <v>0</v>
      </c>
      <c r="BE548" s="25">
        <v>0</v>
      </c>
      <c r="BF548" s="25">
        <f>548</f>
        <v>548</v>
      </c>
      <c r="BH548" s="25">
        <f t="shared" si="511"/>
        <v>0</v>
      </c>
      <c r="BI548" s="25">
        <f t="shared" si="512"/>
        <v>0</v>
      </c>
      <c r="BJ548" s="25">
        <f t="shared" si="513"/>
        <v>0</v>
      </c>
      <c r="BK548" s="27" t="s">
        <v>57</v>
      </c>
      <c r="BL548" s="25">
        <v>771</v>
      </c>
      <c r="BW548" s="25">
        <v>21</v>
      </c>
      <c r="BX548" s="5" t="s">
        <v>1655</v>
      </c>
    </row>
    <row r="549" spans="1:76" ht="25.5" x14ac:dyDescent="0.25">
      <c r="A549" s="2" t="s">
        <v>1656</v>
      </c>
      <c r="B549" s="3" t="s">
        <v>1657</v>
      </c>
      <c r="C549" s="93" t="s">
        <v>1658</v>
      </c>
      <c r="D549" s="94"/>
      <c r="E549" s="3" t="s">
        <v>93</v>
      </c>
      <c r="F549" s="25">
        <v>48.55</v>
      </c>
      <c r="G549" s="25">
        <v>0</v>
      </c>
      <c r="H549" s="25">
        <f t="shared" si="492"/>
        <v>0</v>
      </c>
      <c r="I549" s="25">
        <f t="shared" si="493"/>
        <v>0</v>
      </c>
      <c r="J549" s="25">
        <f t="shared" si="494"/>
        <v>0</v>
      </c>
      <c r="K549" s="26" t="s">
        <v>53</v>
      </c>
      <c r="Z549" s="25">
        <f t="shared" si="495"/>
        <v>0</v>
      </c>
      <c r="AB549" s="25">
        <f t="shared" si="496"/>
        <v>0</v>
      </c>
      <c r="AC549" s="25">
        <f t="shared" si="497"/>
        <v>0</v>
      </c>
      <c r="AD549" s="25">
        <f t="shared" si="498"/>
        <v>0</v>
      </c>
      <c r="AE549" s="25">
        <f t="shared" si="499"/>
        <v>0</v>
      </c>
      <c r="AF549" s="25">
        <f t="shared" si="500"/>
        <v>0</v>
      </c>
      <c r="AG549" s="25">
        <f t="shared" si="501"/>
        <v>0</v>
      </c>
      <c r="AH549" s="25">
        <f t="shared" si="502"/>
        <v>0</v>
      </c>
      <c r="AI549" s="11" t="s">
        <v>46</v>
      </c>
      <c r="AJ549" s="25">
        <f t="shared" si="503"/>
        <v>0</v>
      </c>
      <c r="AK549" s="25">
        <f t="shared" si="504"/>
        <v>0</v>
      </c>
      <c r="AL549" s="25">
        <f t="shared" si="505"/>
        <v>0</v>
      </c>
      <c r="AN549" s="25">
        <v>21</v>
      </c>
      <c r="AO549" s="25">
        <f>G549*0</f>
        <v>0</v>
      </c>
      <c r="AP549" s="25">
        <f>G549*(1-0)</f>
        <v>0</v>
      </c>
      <c r="AQ549" s="27" t="s">
        <v>76</v>
      </c>
      <c r="AV549" s="25">
        <f t="shared" si="506"/>
        <v>0</v>
      </c>
      <c r="AW549" s="25">
        <f t="shared" si="507"/>
        <v>0</v>
      </c>
      <c r="AX549" s="25">
        <f t="shared" si="508"/>
        <v>0</v>
      </c>
      <c r="AY549" s="27" t="s">
        <v>1651</v>
      </c>
      <c r="AZ549" s="27" t="s">
        <v>1652</v>
      </c>
      <c r="BA549" s="11" t="s">
        <v>56</v>
      </c>
      <c r="BC549" s="25">
        <f t="shared" si="509"/>
        <v>0</v>
      </c>
      <c r="BD549" s="25">
        <f t="shared" si="510"/>
        <v>0</v>
      </c>
      <c r="BE549" s="25">
        <v>0</v>
      </c>
      <c r="BF549" s="25">
        <f>549</f>
        <v>549</v>
      </c>
      <c r="BH549" s="25">
        <f t="shared" si="511"/>
        <v>0</v>
      </c>
      <c r="BI549" s="25">
        <f t="shared" si="512"/>
        <v>0</v>
      </c>
      <c r="BJ549" s="25">
        <f t="shared" si="513"/>
        <v>0</v>
      </c>
      <c r="BK549" s="27" t="s">
        <v>57</v>
      </c>
      <c r="BL549" s="25">
        <v>771</v>
      </c>
      <c r="BW549" s="25">
        <v>21</v>
      </c>
      <c r="BX549" s="5" t="s">
        <v>1658</v>
      </c>
    </row>
    <row r="550" spans="1:76" x14ac:dyDescent="0.25">
      <c r="A550" s="2" t="s">
        <v>1659</v>
      </c>
      <c r="B550" s="3" t="s">
        <v>1660</v>
      </c>
      <c r="C550" s="93" t="s">
        <v>1661</v>
      </c>
      <c r="D550" s="94"/>
      <c r="E550" s="3" t="s">
        <v>93</v>
      </c>
      <c r="F550" s="25">
        <v>48.320999999999998</v>
      </c>
      <c r="G550" s="25">
        <v>0</v>
      </c>
      <c r="H550" s="25">
        <f t="shared" si="492"/>
        <v>0</v>
      </c>
      <c r="I550" s="25">
        <f t="shared" si="493"/>
        <v>0</v>
      </c>
      <c r="J550" s="25">
        <f t="shared" si="494"/>
        <v>0</v>
      </c>
      <c r="K550" s="26" t="s">
        <v>53</v>
      </c>
      <c r="Z550" s="25">
        <f t="shared" si="495"/>
        <v>0</v>
      </c>
      <c r="AB550" s="25">
        <f t="shared" si="496"/>
        <v>0</v>
      </c>
      <c r="AC550" s="25">
        <f t="shared" si="497"/>
        <v>0</v>
      </c>
      <c r="AD550" s="25">
        <f t="shared" si="498"/>
        <v>0</v>
      </c>
      <c r="AE550" s="25">
        <f t="shared" si="499"/>
        <v>0</v>
      </c>
      <c r="AF550" s="25">
        <f t="shared" si="500"/>
        <v>0</v>
      </c>
      <c r="AG550" s="25">
        <f t="shared" si="501"/>
        <v>0</v>
      </c>
      <c r="AH550" s="25">
        <f t="shared" si="502"/>
        <v>0</v>
      </c>
      <c r="AI550" s="11" t="s">
        <v>46</v>
      </c>
      <c r="AJ550" s="25">
        <f t="shared" si="503"/>
        <v>0</v>
      </c>
      <c r="AK550" s="25">
        <f t="shared" si="504"/>
        <v>0</v>
      </c>
      <c r="AL550" s="25">
        <f t="shared" si="505"/>
        <v>0</v>
      </c>
      <c r="AN550" s="25">
        <v>21</v>
      </c>
      <c r="AO550" s="25">
        <f>G550*1</f>
        <v>0</v>
      </c>
      <c r="AP550" s="25">
        <f>G550*(1-1)</f>
        <v>0</v>
      </c>
      <c r="AQ550" s="27" t="s">
        <v>76</v>
      </c>
      <c r="AV550" s="25">
        <f t="shared" si="506"/>
        <v>0</v>
      </c>
      <c r="AW550" s="25">
        <f t="shared" si="507"/>
        <v>0</v>
      </c>
      <c r="AX550" s="25">
        <f t="shared" si="508"/>
        <v>0</v>
      </c>
      <c r="AY550" s="27" t="s">
        <v>1651</v>
      </c>
      <c r="AZ550" s="27" t="s">
        <v>1652</v>
      </c>
      <c r="BA550" s="11" t="s">
        <v>56</v>
      </c>
      <c r="BC550" s="25">
        <f t="shared" si="509"/>
        <v>0</v>
      </c>
      <c r="BD550" s="25">
        <f t="shared" si="510"/>
        <v>0</v>
      </c>
      <c r="BE550" s="25">
        <v>0</v>
      </c>
      <c r="BF550" s="25">
        <f>550</f>
        <v>550</v>
      </c>
      <c r="BH550" s="25">
        <f t="shared" si="511"/>
        <v>0</v>
      </c>
      <c r="BI550" s="25">
        <f t="shared" si="512"/>
        <v>0</v>
      </c>
      <c r="BJ550" s="25">
        <f t="shared" si="513"/>
        <v>0</v>
      </c>
      <c r="BK550" s="27" t="s">
        <v>75</v>
      </c>
      <c r="BL550" s="25">
        <v>771</v>
      </c>
      <c r="BW550" s="25">
        <v>21</v>
      </c>
      <c r="BX550" s="5" t="s">
        <v>1661</v>
      </c>
    </row>
    <row r="551" spans="1:76" x14ac:dyDescent="0.25">
      <c r="A551" s="2" t="s">
        <v>1662</v>
      </c>
      <c r="B551" s="3" t="s">
        <v>1663</v>
      </c>
      <c r="C551" s="93" t="s">
        <v>1664</v>
      </c>
      <c r="D551" s="94"/>
      <c r="E551" s="3" t="s">
        <v>93</v>
      </c>
      <c r="F551" s="25">
        <v>2.657</v>
      </c>
      <c r="G551" s="25">
        <v>0</v>
      </c>
      <c r="H551" s="25">
        <f t="shared" si="492"/>
        <v>0</v>
      </c>
      <c r="I551" s="25">
        <f t="shared" si="493"/>
        <v>0</v>
      </c>
      <c r="J551" s="25">
        <f t="shared" si="494"/>
        <v>0</v>
      </c>
      <c r="K551" s="26" t="s">
        <v>53</v>
      </c>
      <c r="Z551" s="25">
        <f t="shared" si="495"/>
        <v>0</v>
      </c>
      <c r="AB551" s="25">
        <f t="shared" si="496"/>
        <v>0</v>
      </c>
      <c r="AC551" s="25">
        <f t="shared" si="497"/>
        <v>0</v>
      </c>
      <c r="AD551" s="25">
        <f t="shared" si="498"/>
        <v>0</v>
      </c>
      <c r="AE551" s="25">
        <f t="shared" si="499"/>
        <v>0</v>
      </c>
      <c r="AF551" s="25">
        <f t="shared" si="500"/>
        <v>0</v>
      </c>
      <c r="AG551" s="25">
        <f t="shared" si="501"/>
        <v>0</v>
      </c>
      <c r="AH551" s="25">
        <f t="shared" si="502"/>
        <v>0</v>
      </c>
      <c r="AI551" s="11" t="s">
        <v>46</v>
      </c>
      <c r="AJ551" s="25">
        <f t="shared" si="503"/>
        <v>0</v>
      </c>
      <c r="AK551" s="25">
        <f t="shared" si="504"/>
        <v>0</v>
      </c>
      <c r="AL551" s="25">
        <f t="shared" si="505"/>
        <v>0</v>
      </c>
      <c r="AN551" s="25">
        <v>21</v>
      </c>
      <c r="AO551" s="25">
        <f>G551*1</f>
        <v>0</v>
      </c>
      <c r="AP551" s="25">
        <f>G551*(1-1)</f>
        <v>0</v>
      </c>
      <c r="AQ551" s="27" t="s">
        <v>76</v>
      </c>
      <c r="AV551" s="25">
        <f t="shared" si="506"/>
        <v>0</v>
      </c>
      <c r="AW551" s="25">
        <f t="shared" si="507"/>
        <v>0</v>
      </c>
      <c r="AX551" s="25">
        <f t="shared" si="508"/>
        <v>0</v>
      </c>
      <c r="AY551" s="27" t="s">
        <v>1651</v>
      </c>
      <c r="AZ551" s="27" t="s">
        <v>1652</v>
      </c>
      <c r="BA551" s="11" t="s">
        <v>56</v>
      </c>
      <c r="BC551" s="25">
        <f t="shared" si="509"/>
        <v>0</v>
      </c>
      <c r="BD551" s="25">
        <f t="shared" si="510"/>
        <v>0</v>
      </c>
      <c r="BE551" s="25">
        <v>0</v>
      </c>
      <c r="BF551" s="25">
        <f>551</f>
        <v>551</v>
      </c>
      <c r="BH551" s="25">
        <f t="shared" si="511"/>
        <v>0</v>
      </c>
      <c r="BI551" s="25">
        <f t="shared" si="512"/>
        <v>0</v>
      </c>
      <c r="BJ551" s="25">
        <f t="shared" si="513"/>
        <v>0</v>
      </c>
      <c r="BK551" s="27" t="s">
        <v>75</v>
      </c>
      <c r="BL551" s="25">
        <v>771</v>
      </c>
      <c r="BW551" s="25">
        <v>21</v>
      </c>
      <c r="BX551" s="5" t="s">
        <v>1664</v>
      </c>
    </row>
    <row r="552" spans="1:76" x14ac:dyDescent="0.25">
      <c r="A552" s="2" t="s">
        <v>1665</v>
      </c>
      <c r="B552" s="3" t="s">
        <v>1666</v>
      </c>
      <c r="C552" s="93" t="s">
        <v>1667</v>
      </c>
      <c r="D552" s="94"/>
      <c r="E552" s="3" t="s">
        <v>131</v>
      </c>
      <c r="F552" s="25">
        <v>9.85</v>
      </c>
      <c r="G552" s="25">
        <v>0</v>
      </c>
      <c r="H552" s="25">
        <f t="shared" si="492"/>
        <v>0</v>
      </c>
      <c r="I552" s="25">
        <f t="shared" si="493"/>
        <v>0</v>
      </c>
      <c r="J552" s="25">
        <f t="shared" si="494"/>
        <v>0</v>
      </c>
      <c r="K552" s="26" t="s">
        <v>53</v>
      </c>
      <c r="Z552" s="25">
        <f t="shared" si="495"/>
        <v>0</v>
      </c>
      <c r="AB552" s="25">
        <f t="shared" si="496"/>
        <v>0</v>
      </c>
      <c r="AC552" s="25">
        <f t="shared" si="497"/>
        <v>0</v>
      </c>
      <c r="AD552" s="25">
        <f t="shared" si="498"/>
        <v>0</v>
      </c>
      <c r="AE552" s="25">
        <f t="shared" si="499"/>
        <v>0</v>
      </c>
      <c r="AF552" s="25">
        <f t="shared" si="500"/>
        <v>0</v>
      </c>
      <c r="AG552" s="25">
        <f t="shared" si="501"/>
        <v>0</v>
      </c>
      <c r="AH552" s="25">
        <f t="shared" si="502"/>
        <v>0</v>
      </c>
      <c r="AI552" s="11" t="s">
        <v>46</v>
      </c>
      <c r="AJ552" s="25">
        <f t="shared" si="503"/>
        <v>0</v>
      </c>
      <c r="AK552" s="25">
        <f t="shared" si="504"/>
        <v>0</v>
      </c>
      <c r="AL552" s="25">
        <f t="shared" si="505"/>
        <v>0</v>
      </c>
      <c r="AN552" s="25">
        <v>21</v>
      </c>
      <c r="AO552" s="25">
        <f>G552*0.804929405</f>
        <v>0</v>
      </c>
      <c r="AP552" s="25">
        <f>G552*(1-0.804929405)</f>
        <v>0</v>
      </c>
      <c r="AQ552" s="27" t="s">
        <v>76</v>
      </c>
      <c r="AV552" s="25">
        <f t="shared" si="506"/>
        <v>0</v>
      </c>
      <c r="AW552" s="25">
        <f t="shared" si="507"/>
        <v>0</v>
      </c>
      <c r="AX552" s="25">
        <f t="shared" si="508"/>
        <v>0</v>
      </c>
      <c r="AY552" s="27" t="s">
        <v>1651</v>
      </c>
      <c r="AZ552" s="27" t="s">
        <v>1652</v>
      </c>
      <c r="BA552" s="11" t="s">
        <v>56</v>
      </c>
      <c r="BC552" s="25">
        <f t="shared" si="509"/>
        <v>0</v>
      </c>
      <c r="BD552" s="25">
        <f t="shared" si="510"/>
        <v>0</v>
      </c>
      <c r="BE552" s="25">
        <v>0</v>
      </c>
      <c r="BF552" s="25">
        <f>552</f>
        <v>552</v>
      </c>
      <c r="BH552" s="25">
        <f t="shared" si="511"/>
        <v>0</v>
      </c>
      <c r="BI552" s="25">
        <f t="shared" si="512"/>
        <v>0</v>
      </c>
      <c r="BJ552" s="25">
        <f t="shared" si="513"/>
        <v>0</v>
      </c>
      <c r="BK552" s="27" t="s">
        <v>57</v>
      </c>
      <c r="BL552" s="25">
        <v>771</v>
      </c>
      <c r="BW552" s="25">
        <v>21</v>
      </c>
      <c r="BX552" s="5" t="s">
        <v>1667</v>
      </c>
    </row>
    <row r="553" spans="1:76" x14ac:dyDescent="0.25">
      <c r="A553" s="2" t="s">
        <v>1668</v>
      </c>
      <c r="B553" s="3" t="s">
        <v>1669</v>
      </c>
      <c r="C553" s="93" t="s">
        <v>1670</v>
      </c>
      <c r="D553" s="94"/>
      <c r="E553" s="3" t="s">
        <v>131</v>
      </c>
      <c r="F553" s="25">
        <v>62.15</v>
      </c>
      <c r="G553" s="25">
        <v>0</v>
      </c>
      <c r="H553" s="25">
        <f t="shared" si="492"/>
        <v>0</v>
      </c>
      <c r="I553" s="25">
        <f t="shared" si="493"/>
        <v>0</v>
      </c>
      <c r="J553" s="25">
        <f t="shared" si="494"/>
        <v>0</v>
      </c>
      <c r="K553" s="26" t="s">
        <v>53</v>
      </c>
      <c r="Z553" s="25">
        <f t="shared" si="495"/>
        <v>0</v>
      </c>
      <c r="AB553" s="25">
        <f t="shared" si="496"/>
        <v>0</v>
      </c>
      <c r="AC553" s="25">
        <f t="shared" si="497"/>
        <v>0</v>
      </c>
      <c r="AD553" s="25">
        <f t="shared" si="498"/>
        <v>0</v>
      </c>
      <c r="AE553" s="25">
        <f t="shared" si="499"/>
        <v>0</v>
      </c>
      <c r="AF553" s="25">
        <f t="shared" si="500"/>
        <v>0</v>
      </c>
      <c r="AG553" s="25">
        <f t="shared" si="501"/>
        <v>0</v>
      </c>
      <c r="AH553" s="25">
        <f t="shared" si="502"/>
        <v>0</v>
      </c>
      <c r="AI553" s="11" t="s">
        <v>46</v>
      </c>
      <c r="AJ553" s="25">
        <f t="shared" si="503"/>
        <v>0</v>
      </c>
      <c r="AK553" s="25">
        <f t="shared" si="504"/>
        <v>0</v>
      </c>
      <c r="AL553" s="25">
        <f t="shared" si="505"/>
        <v>0</v>
      </c>
      <c r="AN553" s="25">
        <v>21</v>
      </c>
      <c r="AO553" s="25">
        <f>G553*0.608812921</f>
        <v>0</v>
      </c>
      <c r="AP553" s="25">
        <f>G553*(1-0.608812921)</f>
        <v>0</v>
      </c>
      <c r="AQ553" s="27" t="s">
        <v>76</v>
      </c>
      <c r="AV553" s="25">
        <f t="shared" si="506"/>
        <v>0</v>
      </c>
      <c r="AW553" s="25">
        <f t="shared" si="507"/>
        <v>0</v>
      </c>
      <c r="AX553" s="25">
        <f t="shared" si="508"/>
        <v>0</v>
      </c>
      <c r="AY553" s="27" t="s">
        <v>1651</v>
      </c>
      <c r="AZ553" s="27" t="s">
        <v>1652</v>
      </c>
      <c r="BA553" s="11" t="s">
        <v>56</v>
      </c>
      <c r="BC553" s="25">
        <f t="shared" si="509"/>
        <v>0</v>
      </c>
      <c r="BD553" s="25">
        <f t="shared" si="510"/>
        <v>0</v>
      </c>
      <c r="BE553" s="25">
        <v>0</v>
      </c>
      <c r="BF553" s="25">
        <f>553</f>
        <v>553</v>
      </c>
      <c r="BH553" s="25">
        <f t="shared" si="511"/>
        <v>0</v>
      </c>
      <c r="BI553" s="25">
        <f t="shared" si="512"/>
        <v>0</v>
      </c>
      <c r="BJ553" s="25">
        <f t="shared" si="513"/>
        <v>0</v>
      </c>
      <c r="BK553" s="27" t="s">
        <v>57</v>
      </c>
      <c r="BL553" s="25">
        <v>771</v>
      </c>
      <c r="BW553" s="25">
        <v>21</v>
      </c>
      <c r="BX553" s="5" t="s">
        <v>1670</v>
      </c>
    </row>
    <row r="554" spans="1:76" x14ac:dyDescent="0.25">
      <c r="A554" s="2" t="s">
        <v>1671</v>
      </c>
      <c r="B554" s="3" t="s">
        <v>1672</v>
      </c>
      <c r="C554" s="93" t="s">
        <v>1673</v>
      </c>
      <c r="D554" s="94"/>
      <c r="E554" s="3" t="s">
        <v>93</v>
      </c>
      <c r="F554" s="25">
        <v>16.14</v>
      </c>
      <c r="G554" s="25">
        <v>0</v>
      </c>
      <c r="H554" s="25">
        <f t="shared" si="492"/>
        <v>0</v>
      </c>
      <c r="I554" s="25">
        <f t="shared" si="493"/>
        <v>0</v>
      </c>
      <c r="J554" s="25">
        <f t="shared" si="494"/>
        <v>0</v>
      </c>
      <c r="K554" s="26" t="s">
        <v>53</v>
      </c>
      <c r="Z554" s="25">
        <f t="shared" si="495"/>
        <v>0</v>
      </c>
      <c r="AB554" s="25">
        <f t="shared" si="496"/>
        <v>0</v>
      </c>
      <c r="AC554" s="25">
        <f t="shared" si="497"/>
        <v>0</v>
      </c>
      <c r="AD554" s="25">
        <f t="shared" si="498"/>
        <v>0</v>
      </c>
      <c r="AE554" s="25">
        <f t="shared" si="499"/>
        <v>0</v>
      </c>
      <c r="AF554" s="25">
        <f t="shared" si="500"/>
        <v>0</v>
      </c>
      <c r="AG554" s="25">
        <f t="shared" si="501"/>
        <v>0</v>
      </c>
      <c r="AH554" s="25">
        <f t="shared" si="502"/>
        <v>0</v>
      </c>
      <c r="AI554" s="11" t="s">
        <v>46</v>
      </c>
      <c r="AJ554" s="25">
        <f t="shared" si="503"/>
        <v>0</v>
      </c>
      <c r="AK554" s="25">
        <f t="shared" si="504"/>
        <v>0</v>
      </c>
      <c r="AL554" s="25">
        <f t="shared" si="505"/>
        <v>0</v>
      </c>
      <c r="AN554" s="25">
        <v>21</v>
      </c>
      <c r="AO554" s="25">
        <f>G554*0</f>
        <v>0</v>
      </c>
      <c r="AP554" s="25">
        <f>G554*(1-0)</f>
        <v>0</v>
      </c>
      <c r="AQ554" s="27" t="s">
        <v>76</v>
      </c>
      <c r="AV554" s="25">
        <f t="shared" si="506"/>
        <v>0</v>
      </c>
      <c r="AW554" s="25">
        <f t="shared" si="507"/>
        <v>0</v>
      </c>
      <c r="AX554" s="25">
        <f t="shared" si="508"/>
        <v>0</v>
      </c>
      <c r="AY554" s="27" t="s">
        <v>1651</v>
      </c>
      <c r="AZ554" s="27" t="s">
        <v>1652</v>
      </c>
      <c r="BA554" s="11" t="s">
        <v>56</v>
      </c>
      <c r="BC554" s="25">
        <f t="shared" si="509"/>
        <v>0</v>
      </c>
      <c r="BD554" s="25">
        <f t="shared" si="510"/>
        <v>0</v>
      </c>
      <c r="BE554" s="25">
        <v>0</v>
      </c>
      <c r="BF554" s="25">
        <f>554</f>
        <v>554</v>
      </c>
      <c r="BH554" s="25">
        <f t="shared" si="511"/>
        <v>0</v>
      </c>
      <c r="BI554" s="25">
        <f t="shared" si="512"/>
        <v>0</v>
      </c>
      <c r="BJ554" s="25">
        <f t="shared" si="513"/>
        <v>0</v>
      </c>
      <c r="BK554" s="27" t="s">
        <v>57</v>
      </c>
      <c r="BL554" s="25">
        <v>771</v>
      </c>
      <c r="BW554" s="25">
        <v>21</v>
      </c>
      <c r="BX554" s="5" t="s">
        <v>1673</v>
      </c>
    </row>
    <row r="555" spans="1:76" x14ac:dyDescent="0.25">
      <c r="A555" s="2" t="s">
        <v>1674</v>
      </c>
      <c r="B555" s="3" t="s">
        <v>1675</v>
      </c>
      <c r="C555" s="93" t="s">
        <v>1676</v>
      </c>
      <c r="D555" s="94"/>
      <c r="E555" s="3" t="s">
        <v>93</v>
      </c>
      <c r="F555" s="25">
        <v>48.55</v>
      </c>
      <c r="G555" s="25">
        <v>0</v>
      </c>
      <c r="H555" s="25">
        <f t="shared" si="492"/>
        <v>0</v>
      </c>
      <c r="I555" s="25">
        <f t="shared" si="493"/>
        <v>0</v>
      </c>
      <c r="J555" s="25">
        <f t="shared" si="494"/>
        <v>0</v>
      </c>
      <c r="K555" s="26" t="s">
        <v>53</v>
      </c>
      <c r="Z555" s="25">
        <f t="shared" si="495"/>
        <v>0</v>
      </c>
      <c r="AB555" s="25">
        <f t="shared" si="496"/>
        <v>0</v>
      </c>
      <c r="AC555" s="25">
        <f t="shared" si="497"/>
        <v>0</v>
      </c>
      <c r="AD555" s="25">
        <f t="shared" si="498"/>
        <v>0</v>
      </c>
      <c r="AE555" s="25">
        <f t="shared" si="499"/>
        <v>0</v>
      </c>
      <c r="AF555" s="25">
        <f t="shared" si="500"/>
        <v>0</v>
      </c>
      <c r="AG555" s="25">
        <f t="shared" si="501"/>
        <v>0</v>
      </c>
      <c r="AH555" s="25">
        <f t="shared" si="502"/>
        <v>0</v>
      </c>
      <c r="AI555" s="11" t="s">
        <v>46</v>
      </c>
      <c r="AJ555" s="25">
        <f t="shared" si="503"/>
        <v>0</v>
      </c>
      <c r="AK555" s="25">
        <f t="shared" si="504"/>
        <v>0</v>
      </c>
      <c r="AL555" s="25">
        <f t="shared" si="505"/>
        <v>0</v>
      </c>
      <c r="AN555" s="25">
        <v>21</v>
      </c>
      <c r="AO555" s="25">
        <f>G555*0.999985075</f>
        <v>0</v>
      </c>
      <c r="AP555" s="25">
        <f>G555*(1-0.999985075)</f>
        <v>0</v>
      </c>
      <c r="AQ555" s="27" t="s">
        <v>76</v>
      </c>
      <c r="AV555" s="25">
        <f t="shared" si="506"/>
        <v>0</v>
      </c>
      <c r="AW555" s="25">
        <f t="shared" si="507"/>
        <v>0</v>
      </c>
      <c r="AX555" s="25">
        <f t="shared" si="508"/>
        <v>0</v>
      </c>
      <c r="AY555" s="27" t="s">
        <v>1651</v>
      </c>
      <c r="AZ555" s="27" t="s">
        <v>1652</v>
      </c>
      <c r="BA555" s="11" t="s">
        <v>56</v>
      </c>
      <c r="BC555" s="25">
        <f t="shared" si="509"/>
        <v>0</v>
      </c>
      <c r="BD555" s="25">
        <f t="shared" si="510"/>
        <v>0</v>
      </c>
      <c r="BE555" s="25">
        <v>0</v>
      </c>
      <c r="BF555" s="25">
        <f>555</f>
        <v>555</v>
      </c>
      <c r="BH555" s="25">
        <f t="shared" si="511"/>
        <v>0</v>
      </c>
      <c r="BI555" s="25">
        <f t="shared" si="512"/>
        <v>0</v>
      </c>
      <c r="BJ555" s="25">
        <f t="shared" si="513"/>
        <v>0</v>
      </c>
      <c r="BK555" s="27" t="s">
        <v>57</v>
      </c>
      <c r="BL555" s="25">
        <v>771</v>
      </c>
      <c r="BW555" s="25">
        <v>21</v>
      </c>
      <c r="BX555" s="5" t="s">
        <v>1676</v>
      </c>
    </row>
    <row r="556" spans="1:76" x14ac:dyDescent="0.25">
      <c r="A556" s="2" t="s">
        <v>1677</v>
      </c>
      <c r="B556" s="3" t="s">
        <v>1678</v>
      </c>
      <c r="C556" s="93" t="s">
        <v>1679</v>
      </c>
      <c r="D556" s="94"/>
      <c r="E556" s="3" t="s">
        <v>71</v>
      </c>
      <c r="F556" s="25">
        <v>1.0780000000000001</v>
      </c>
      <c r="G556" s="25">
        <v>0</v>
      </c>
      <c r="H556" s="25">
        <f t="shared" si="492"/>
        <v>0</v>
      </c>
      <c r="I556" s="25">
        <f t="shared" si="493"/>
        <v>0</v>
      </c>
      <c r="J556" s="25">
        <f t="shared" si="494"/>
        <v>0</v>
      </c>
      <c r="K556" s="26" t="s">
        <v>53</v>
      </c>
      <c r="Z556" s="25">
        <f t="shared" si="495"/>
        <v>0</v>
      </c>
      <c r="AB556" s="25">
        <f t="shared" si="496"/>
        <v>0</v>
      </c>
      <c r="AC556" s="25">
        <f t="shared" si="497"/>
        <v>0</v>
      </c>
      <c r="AD556" s="25">
        <f t="shared" si="498"/>
        <v>0</v>
      </c>
      <c r="AE556" s="25">
        <f t="shared" si="499"/>
        <v>0</v>
      </c>
      <c r="AF556" s="25">
        <f t="shared" si="500"/>
        <v>0</v>
      </c>
      <c r="AG556" s="25">
        <f t="shared" si="501"/>
        <v>0</v>
      </c>
      <c r="AH556" s="25">
        <f t="shared" si="502"/>
        <v>0</v>
      </c>
      <c r="AI556" s="11" t="s">
        <v>46</v>
      </c>
      <c r="AJ556" s="25">
        <f t="shared" si="503"/>
        <v>0</v>
      </c>
      <c r="AK556" s="25">
        <f t="shared" si="504"/>
        <v>0</v>
      </c>
      <c r="AL556" s="25">
        <f t="shared" si="505"/>
        <v>0</v>
      </c>
      <c r="AN556" s="25">
        <v>21</v>
      </c>
      <c r="AO556" s="25">
        <f>G556*0</f>
        <v>0</v>
      </c>
      <c r="AP556" s="25">
        <f>G556*(1-0)</f>
        <v>0</v>
      </c>
      <c r="AQ556" s="27" t="s">
        <v>68</v>
      </c>
      <c r="AV556" s="25">
        <f t="shared" si="506"/>
        <v>0</v>
      </c>
      <c r="AW556" s="25">
        <f t="shared" si="507"/>
        <v>0</v>
      </c>
      <c r="AX556" s="25">
        <f t="shared" si="508"/>
        <v>0</v>
      </c>
      <c r="AY556" s="27" t="s">
        <v>1651</v>
      </c>
      <c r="AZ556" s="27" t="s">
        <v>1652</v>
      </c>
      <c r="BA556" s="11" t="s">
        <v>56</v>
      </c>
      <c r="BC556" s="25">
        <f t="shared" si="509"/>
        <v>0</v>
      </c>
      <c r="BD556" s="25">
        <f t="shared" si="510"/>
        <v>0</v>
      </c>
      <c r="BE556" s="25">
        <v>0</v>
      </c>
      <c r="BF556" s="25">
        <f>556</f>
        <v>556</v>
      </c>
      <c r="BH556" s="25">
        <f t="shared" si="511"/>
        <v>0</v>
      </c>
      <c r="BI556" s="25">
        <f t="shared" si="512"/>
        <v>0</v>
      </c>
      <c r="BJ556" s="25">
        <f t="shared" si="513"/>
        <v>0</v>
      </c>
      <c r="BK556" s="27" t="s">
        <v>57</v>
      </c>
      <c r="BL556" s="25">
        <v>771</v>
      </c>
      <c r="BW556" s="25">
        <v>21</v>
      </c>
      <c r="BX556" s="5" t="s">
        <v>1679</v>
      </c>
    </row>
    <row r="557" spans="1:76" x14ac:dyDescent="0.25">
      <c r="A557" s="28" t="s">
        <v>46</v>
      </c>
      <c r="B557" s="29" t="s">
        <v>1680</v>
      </c>
      <c r="C557" s="150" t="s">
        <v>1681</v>
      </c>
      <c r="D557" s="151"/>
      <c r="E557" s="30" t="s">
        <v>4</v>
      </c>
      <c r="F557" s="30" t="s">
        <v>4</v>
      </c>
      <c r="G557" s="30" t="s">
        <v>4</v>
      </c>
      <c r="H557" s="1">
        <f>ROUND(SUM(H558:H568),1)</f>
        <v>0</v>
      </c>
      <c r="I557" s="1">
        <f>ROUND(SUM(I558:I568),1)</f>
        <v>0</v>
      </c>
      <c r="J557" s="1">
        <f>ROUND(SUM(J558:J568),1)</f>
        <v>0</v>
      </c>
      <c r="K557" s="31" t="s">
        <v>46</v>
      </c>
      <c r="AI557" s="11" t="s">
        <v>46</v>
      </c>
      <c r="AS557" s="1">
        <f>SUM(AJ558:AJ568)</f>
        <v>0</v>
      </c>
      <c r="AT557" s="1">
        <f>SUM(AK558:AK568)</f>
        <v>0</v>
      </c>
      <c r="AU557" s="1">
        <f>SUM(AL558:AL568)</f>
        <v>0</v>
      </c>
    </row>
    <row r="558" spans="1:76" x14ac:dyDescent="0.25">
      <c r="A558" s="2" t="s">
        <v>1682</v>
      </c>
      <c r="B558" s="3" t="s">
        <v>1683</v>
      </c>
      <c r="C558" s="93" t="s">
        <v>1684</v>
      </c>
      <c r="D558" s="94"/>
      <c r="E558" s="3" t="s">
        <v>93</v>
      </c>
      <c r="F558" s="25">
        <v>502.75</v>
      </c>
      <c r="G558" s="25">
        <v>0</v>
      </c>
      <c r="H558" s="25">
        <f t="shared" ref="H558:H568" si="514">ROUND(F558*AO558,2)</f>
        <v>0</v>
      </c>
      <c r="I558" s="25">
        <f t="shared" ref="I558:I568" si="515">ROUND(F558*AP558,2)</f>
        <v>0</v>
      </c>
      <c r="J558" s="25">
        <f t="shared" ref="J558:J568" si="516">ROUND(F558*G558,1)</f>
        <v>0</v>
      </c>
      <c r="K558" s="26" t="s">
        <v>53</v>
      </c>
      <c r="Z558" s="25">
        <f t="shared" ref="Z558:Z568" si="517">ROUND(IF(AQ558="5",BJ558,0),2)</f>
        <v>0</v>
      </c>
      <c r="AB558" s="25">
        <f t="shared" ref="AB558:AB568" si="518">ROUND(IF(AQ558="1",BH558,0),2)</f>
        <v>0</v>
      </c>
      <c r="AC558" s="25">
        <f t="shared" ref="AC558:AC568" si="519">ROUND(IF(AQ558="1",BI558,0),2)</f>
        <v>0</v>
      </c>
      <c r="AD558" s="25">
        <f t="shared" ref="AD558:AD568" si="520">ROUND(IF(AQ558="7",BH558,0),2)</f>
        <v>0</v>
      </c>
      <c r="AE558" s="25">
        <f t="shared" ref="AE558:AE568" si="521">ROUND(IF(AQ558="7",BI558,0),2)</f>
        <v>0</v>
      </c>
      <c r="AF558" s="25">
        <f t="shared" ref="AF558:AF568" si="522">ROUND(IF(AQ558="2",BH558,0),2)</f>
        <v>0</v>
      </c>
      <c r="AG558" s="25">
        <f t="shared" ref="AG558:AG568" si="523">ROUND(IF(AQ558="2",BI558,0),2)</f>
        <v>0</v>
      </c>
      <c r="AH558" s="25">
        <f t="shared" ref="AH558:AH568" si="524">ROUND(IF(AQ558="0",BJ558,0),2)</f>
        <v>0</v>
      </c>
      <c r="AI558" s="11" t="s">
        <v>46</v>
      </c>
      <c r="AJ558" s="25">
        <f t="shared" ref="AJ558:AJ568" si="525">IF(AN558=0,J558,0)</f>
        <v>0</v>
      </c>
      <c r="AK558" s="25">
        <f t="shared" ref="AK558:AK568" si="526">IF(AN558=12,J558,0)</f>
        <v>0</v>
      </c>
      <c r="AL558" s="25">
        <f t="shared" ref="AL558:AL568" si="527">IF(AN558=21,J558,0)</f>
        <v>0</v>
      </c>
      <c r="AN558" s="25">
        <v>21</v>
      </c>
      <c r="AO558" s="25">
        <f>G558*0</f>
        <v>0</v>
      </c>
      <c r="AP558" s="25">
        <f>G558*(1-0)</f>
        <v>0</v>
      </c>
      <c r="AQ558" s="27" t="s">
        <v>76</v>
      </c>
      <c r="AV558" s="25">
        <f t="shared" ref="AV558:AV568" si="528">ROUND(AW558+AX558,2)</f>
        <v>0</v>
      </c>
      <c r="AW558" s="25">
        <f t="shared" ref="AW558:AW568" si="529">ROUND(F558*AO558,2)</f>
        <v>0</v>
      </c>
      <c r="AX558" s="25">
        <f t="shared" ref="AX558:AX568" si="530">ROUND(F558*AP558,2)</f>
        <v>0</v>
      </c>
      <c r="AY558" s="27" t="s">
        <v>1685</v>
      </c>
      <c r="AZ558" s="27" t="s">
        <v>1652</v>
      </c>
      <c r="BA558" s="11" t="s">
        <v>56</v>
      </c>
      <c r="BC558" s="25">
        <f t="shared" ref="BC558:BC568" si="531">AW558+AX558</f>
        <v>0</v>
      </c>
      <c r="BD558" s="25">
        <f t="shared" ref="BD558:BD568" si="532">G558/(100-BE558)*100</f>
        <v>0</v>
      </c>
      <c r="BE558" s="25">
        <v>0</v>
      </c>
      <c r="BF558" s="25">
        <f>558</f>
        <v>558</v>
      </c>
      <c r="BH558" s="25">
        <f t="shared" ref="BH558:BH568" si="533">F558*AO558</f>
        <v>0</v>
      </c>
      <c r="BI558" s="25">
        <f t="shared" ref="BI558:BI568" si="534">F558*AP558</f>
        <v>0</v>
      </c>
      <c r="BJ558" s="25">
        <f t="shared" ref="BJ558:BJ568" si="535">F558*G558</f>
        <v>0</v>
      </c>
      <c r="BK558" s="27" t="s">
        <v>57</v>
      </c>
      <c r="BL558" s="25">
        <v>776</v>
      </c>
      <c r="BW558" s="25">
        <v>21</v>
      </c>
      <c r="BX558" s="5" t="s">
        <v>1684</v>
      </c>
    </row>
    <row r="559" spans="1:76" ht="25.5" x14ac:dyDescent="0.25">
      <c r="A559" s="2" t="s">
        <v>1686</v>
      </c>
      <c r="B559" s="3" t="s">
        <v>1687</v>
      </c>
      <c r="C559" s="93" t="s">
        <v>1688</v>
      </c>
      <c r="D559" s="94"/>
      <c r="E559" s="3" t="s">
        <v>131</v>
      </c>
      <c r="F559" s="25">
        <v>403.83199999999999</v>
      </c>
      <c r="G559" s="25">
        <v>0</v>
      </c>
      <c r="H559" s="25">
        <f t="shared" si="514"/>
        <v>0</v>
      </c>
      <c r="I559" s="25">
        <f t="shared" si="515"/>
        <v>0</v>
      </c>
      <c r="J559" s="25">
        <f t="shared" si="516"/>
        <v>0</v>
      </c>
      <c r="K559" s="26" t="s">
        <v>53</v>
      </c>
      <c r="Z559" s="25">
        <f t="shared" si="517"/>
        <v>0</v>
      </c>
      <c r="AB559" s="25">
        <f t="shared" si="518"/>
        <v>0</v>
      </c>
      <c r="AC559" s="25">
        <f t="shared" si="519"/>
        <v>0</v>
      </c>
      <c r="AD559" s="25">
        <f t="shared" si="520"/>
        <v>0</v>
      </c>
      <c r="AE559" s="25">
        <f t="shared" si="521"/>
        <v>0</v>
      </c>
      <c r="AF559" s="25">
        <f t="shared" si="522"/>
        <v>0</v>
      </c>
      <c r="AG559" s="25">
        <f t="shared" si="523"/>
        <v>0</v>
      </c>
      <c r="AH559" s="25">
        <f t="shared" si="524"/>
        <v>0</v>
      </c>
      <c r="AI559" s="11" t="s">
        <v>46</v>
      </c>
      <c r="AJ559" s="25">
        <f t="shared" si="525"/>
        <v>0</v>
      </c>
      <c r="AK559" s="25">
        <f t="shared" si="526"/>
        <v>0</v>
      </c>
      <c r="AL559" s="25">
        <f t="shared" si="527"/>
        <v>0</v>
      </c>
      <c r="AN559" s="25">
        <v>21</v>
      </c>
      <c r="AO559" s="25">
        <f>G559*0</f>
        <v>0</v>
      </c>
      <c r="AP559" s="25">
        <f>G559*(1-0)</f>
        <v>0</v>
      </c>
      <c r="AQ559" s="27" t="s">
        <v>76</v>
      </c>
      <c r="AV559" s="25">
        <f t="shared" si="528"/>
        <v>0</v>
      </c>
      <c r="AW559" s="25">
        <f t="shared" si="529"/>
        <v>0</v>
      </c>
      <c r="AX559" s="25">
        <f t="shared" si="530"/>
        <v>0</v>
      </c>
      <c r="AY559" s="27" t="s">
        <v>1685</v>
      </c>
      <c r="AZ559" s="27" t="s">
        <v>1652</v>
      </c>
      <c r="BA559" s="11" t="s">
        <v>56</v>
      </c>
      <c r="BC559" s="25">
        <f t="shared" si="531"/>
        <v>0</v>
      </c>
      <c r="BD559" s="25">
        <f t="shared" si="532"/>
        <v>0</v>
      </c>
      <c r="BE559" s="25">
        <v>0</v>
      </c>
      <c r="BF559" s="25">
        <f>559</f>
        <v>559</v>
      </c>
      <c r="BH559" s="25">
        <f t="shared" si="533"/>
        <v>0</v>
      </c>
      <c r="BI559" s="25">
        <f t="shared" si="534"/>
        <v>0</v>
      </c>
      <c r="BJ559" s="25">
        <f t="shared" si="535"/>
        <v>0</v>
      </c>
      <c r="BK559" s="27" t="s">
        <v>57</v>
      </c>
      <c r="BL559" s="25">
        <v>776</v>
      </c>
      <c r="BW559" s="25">
        <v>21</v>
      </c>
      <c r="BX559" s="5" t="s">
        <v>1688</v>
      </c>
    </row>
    <row r="560" spans="1:76" x14ac:dyDescent="0.25">
      <c r="A560" s="2" t="s">
        <v>1689</v>
      </c>
      <c r="B560" s="3" t="s">
        <v>1690</v>
      </c>
      <c r="C560" s="93" t="s">
        <v>1691</v>
      </c>
      <c r="D560" s="94"/>
      <c r="E560" s="3" t="s">
        <v>131</v>
      </c>
      <c r="F560" s="25">
        <v>493.32</v>
      </c>
      <c r="G560" s="25">
        <v>0</v>
      </c>
      <c r="H560" s="25">
        <f t="shared" si="514"/>
        <v>0</v>
      </c>
      <c r="I560" s="25">
        <f t="shared" si="515"/>
        <v>0</v>
      </c>
      <c r="J560" s="25">
        <f t="shared" si="516"/>
        <v>0</v>
      </c>
      <c r="K560" s="26" t="s">
        <v>53</v>
      </c>
      <c r="Z560" s="25">
        <f t="shared" si="517"/>
        <v>0</v>
      </c>
      <c r="AB560" s="25">
        <f t="shared" si="518"/>
        <v>0</v>
      </c>
      <c r="AC560" s="25">
        <f t="shared" si="519"/>
        <v>0</v>
      </c>
      <c r="AD560" s="25">
        <f t="shared" si="520"/>
        <v>0</v>
      </c>
      <c r="AE560" s="25">
        <f t="shared" si="521"/>
        <v>0</v>
      </c>
      <c r="AF560" s="25">
        <f t="shared" si="522"/>
        <v>0</v>
      </c>
      <c r="AG560" s="25">
        <f t="shared" si="523"/>
        <v>0</v>
      </c>
      <c r="AH560" s="25">
        <f t="shared" si="524"/>
        <v>0</v>
      </c>
      <c r="AI560" s="11" t="s">
        <v>46</v>
      </c>
      <c r="AJ560" s="25">
        <f t="shared" si="525"/>
        <v>0</v>
      </c>
      <c r="AK560" s="25">
        <f t="shared" si="526"/>
        <v>0</v>
      </c>
      <c r="AL560" s="25">
        <f t="shared" si="527"/>
        <v>0</v>
      </c>
      <c r="AN560" s="25">
        <v>21</v>
      </c>
      <c r="AO560" s="25">
        <f>G560*0.747000661</f>
        <v>0</v>
      </c>
      <c r="AP560" s="25">
        <f>G560*(1-0.747000661)</f>
        <v>0</v>
      </c>
      <c r="AQ560" s="27" t="s">
        <v>76</v>
      </c>
      <c r="AV560" s="25">
        <f t="shared" si="528"/>
        <v>0</v>
      </c>
      <c r="AW560" s="25">
        <f t="shared" si="529"/>
        <v>0</v>
      </c>
      <c r="AX560" s="25">
        <f t="shared" si="530"/>
        <v>0</v>
      </c>
      <c r="AY560" s="27" t="s">
        <v>1685</v>
      </c>
      <c r="AZ560" s="27" t="s">
        <v>1652</v>
      </c>
      <c r="BA560" s="11" t="s">
        <v>56</v>
      </c>
      <c r="BC560" s="25">
        <f t="shared" si="531"/>
        <v>0</v>
      </c>
      <c r="BD560" s="25">
        <f t="shared" si="532"/>
        <v>0</v>
      </c>
      <c r="BE560" s="25">
        <v>0</v>
      </c>
      <c r="BF560" s="25">
        <f>560</f>
        <v>560</v>
      </c>
      <c r="BH560" s="25">
        <f t="shared" si="533"/>
        <v>0</v>
      </c>
      <c r="BI560" s="25">
        <f t="shared" si="534"/>
        <v>0</v>
      </c>
      <c r="BJ560" s="25">
        <f t="shared" si="535"/>
        <v>0</v>
      </c>
      <c r="BK560" s="27" t="s">
        <v>57</v>
      </c>
      <c r="BL560" s="25">
        <v>776</v>
      </c>
      <c r="BW560" s="25">
        <v>21</v>
      </c>
      <c r="BX560" s="5" t="s">
        <v>1691</v>
      </c>
    </row>
    <row r="561" spans="1:76" ht="25.5" x14ac:dyDescent="0.25">
      <c r="A561" s="2" t="s">
        <v>1692</v>
      </c>
      <c r="B561" s="3" t="s">
        <v>1693</v>
      </c>
      <c r="C561" s="93" t="s">
        <v>1694</v>
      </c>
      <c r="D561" s="94"/>
      <c r="E561" s="3" t="s">
        <v>131</v>
      </c>
      <c r="F561" s="25">
        <v>101.57</v>
      </c>
      <c r="G561" s="25">
        <v>0</v>
      </c>
      <c r="H561" s="25">
        <f t="shared" si="514"/>
        <v>0</v>
      </c>
      <c r="I561" s="25">
        <f t="shared" si="515"/>
        <v>0</v>
      </c>
      <c r="J561" s="25">
        <f t="shared" si="516"/>
        <v>0</v>
      </c>
      <c r="K561" s="26" t="s">
        <v>53</v>
      </c>
      <c r="Z561" s="25">
        <f t="shared" si="517"/>
        <v>0</v>
      </c>
      <c r="AB561" s="25">
        <f t="shared" si="518"/>
        <v>0</v>
      </c>
      <c r="AC561" s="25">
        <f t="shared" si="519"/>
        <v>0</v>
      </c>
      <c r="AD561" s="25">
        <f t="shared" si="520"/>
        <v>0</v>
      </c>
      <c r="AE561" s="25">
        <f t="shared" si="521"/>
        <v>0</v>
      </c>
      <c r="AF561" s="25">
        <f t="shared" si="522"/>
        <v>0</v>
      </c>
      <c r="AG561" s="25">
        <f t="shared" si="523"/>
        <v>0</v>
      </c>
      <c r="AH561" s="25">
        <f t="shared" si="524"/>
        <v>0</v>
      </c>
      <c r="AI561" s="11" t="s">
        <v>46</v>
      </c>
      <c r="AJ561" s="25">
        <f t="shared" si="525"/>
        <v>0</v>
      </c>
      <c r="AK561" s="25">
        <f t="shared" si="526"/>
        <v>0</v>
      </c>
      <c r="AL561" s="25">
        <f t="shared" si="527"/>
        <v>0</v>
      </c>
      <c r="AN561" s="25">
        <v>21</v>
      </c>
      <c r="AO561" s="25">
        <f>G561*0.758867837</f>
        <v>0</v>
      </c>
      <c r="AP561" s="25">
        <f>G561*(1-0.758867837)</f>
        <v>0</v>
      </c>
      <c r="AQ561" s="27" t="s">
        <v>76</v>
      </c>
      <c r="AV561" s="25">
        <f t="shared" si="528"/>
        <v>0</v>
      </c>
      <c r="AW561" s="25">
        <f t="shared" si="529"/>
        <v>0</v>
      </c>
      <c r="AX561" s="25">
        <f t="shared" si="530"/>
        <v>0</v>
      </c>
      <c r="AY561" s="27" t="s">
        <v>1685</v>
      </c>
      <c r="AZ561" s="27" t="s">
        <v>1652</v>
      </c>
      <c r="BA561" s="11" t="s">
        <v>56</v>
      </c>
      <c r="BC561" s="25">
        <f t="shared" si="531"/>
        <v>0</v>
      </c>
      <c r="BD561" s="25">
        <f t="shared" si="532"/>
        <v>0</v>
      </c>
      <c r="BE561" s="25">
        <v>0</v>
      </c>
      <c r="BF561" s="25">
        <f>561</f>
        <v>561</v>
      </c>
      <c r="BH561" s="25">
        <f t="shared" si="533"/>
        <v>0</v>
      </c>
      <c r="BI561" s="25">
        <f t="shared" si="534"/>
        <v>0</v>
      </c>
      <c r="BJ561" s="25">
        <f t="shared" si="535"/>
        <v>0</v>
      </c>
      <c r="BK561" s="27" t="s">
        <v>57</v>
      </c>
      <c r="BL561" s="25">
        <v>776</v>
      </c>
      <c r="BW561" s="25">
        <v>21</v>
      </c>
      <c r="BX561" s="5" t="s">
        <v>1694</v>
      </c>
    </row>
    <row r="562" spans="1:76" x14ac:dyDescent="0.25">
      <c r="A562" s="2" t="s">
        <v>1695</v>
      </c>
      <c r="B562" s="3" t="s">
        <v>1696</v>
      </c>
      <c r="C562" s="93" t="s">
        <v>1697</v>
      </c>
      <c r="D562" s="94"/>
      <c r="E562" s="3" t="s">
        <v>93</v>
      </c>
      <c r="F562" s="25">
        <v>272.24</v>
      </c>
      <c r="G562" s="25">
        <v>0</v>
      </c>
      <c r="H562" s="25">
        <f t="shared" si="514"/>
        <v>0</v>
      </c>
      <c r="I562" s="25">
        <f t="shared" si="515"/>
        <v>0</v>
      </c>
      <c r="J562" s="25">
        <f t="shared" si="516"/>
        <v>0</v>
      </c>
      <c r="K562" s="26" t="s">
        <v>53</v>
      </c>
      <c r="Z562" s="25">
        <f t="shared" si="517"/>
        <v>0</v>
      </c>
      <c r="AB562" s="25">
        <f t="shared" si="518"/>
        <v>0</v>
      </c>
      <c r="AC562" s="25">
        <f t="shared" si="519"/>
        <v>0</v>
      </c>
      <c r="AD562" s="25">
        <f t="shared" si="520"/>
        <v>0</v>
      </c>
      <c r="AE562" s="25">
        <f t="shared" si="521"/>
        <v>0</v>
      </c>
      <c r="AF562" s="25">
        <f t="shared" si="522"/>
        <v>0</v>
      </c>
      <c r="AG562" s="25">
        <f t="shared" si="523"/>
        <v>0</v>
      </c>
      <c r="AH562" s="25">
        <f t="shared" si="524"/>
        <v>0</v>
      </c>
      <c r="AI562" s="11" t="s">
        <v>46</v>
      </c>
      <c r="AJ562" s="25">
        <f t="shared" si="525"/>
        <v>0</v>
      </c>
      <c r="AK562" s="25">
        <f t="shared" si="526"/>
        <v>0</v>
      </c>
      <c r="AL562" s="25">
        <f t="shared" si="527"/>
        <v>0</v>
      </c>
      <c r="AN562" s="25">
        <v>21</v>
      </c>
      <c r="AO562" s="25">
        <f>G562*0</f>
        <v>0</v>
      </c>
      <c r="AP562" s="25">
        <f>G562*(1-0)</f>
        <v>0</v>
      </c>
      <c r="AQ562" s="27" t="s">
        <v>76</v>
      </c>
      <c r="AV562" s="25">
        <f t="shared" si="528"/>
        <v>0</v>
      </c>
      <c r="AW562" s="25">
        <f t="shared" si="529"/>
        <v>0</v>
      </c>
      <c r="AX562" s="25">
        <f t="shared" si="530"/>
        <v>0</v>
      </c>
      <c r="AY562" s="27" t="s">
        <v>1685</v>
      </c>
      <c r="AZ562" s="27" t="s">
        <v>1652</v>
      </c>
      <c r="BA562" s="11" t="s">
        <v>56</v>
      </c>
      <c r="BC562" s="25">
        <f t="shared" si="531"/>
        <v>0</v>
      </c>
      <c r="BD562" s="25">
        <f t="shared" si="532"/>
        <v>0</v>
      </c>
      <c r="BE562" s="25">
        <v>0</v>
      </c>
      <c r="BF562" s="25">
        <f>562</f>
        <v>562</v>
      </c>
      <c r="BH562" s="25">
        <f t="shared" si="533"/>
        <v>0</v>
      </c>
      <c r="BI562" s="25">
        <f t="shared" si="534"/>
        <v>0</v>
      </c>
      <c r="BJ562" s="25">
        <f t="shared" si="535"/>
        <v>0</v>
      </c>
      <c r="BK562" s="27" t="s">
        <v>57</v>
      </c>
      <c r="BL562" s="25">
        <v>776</v>
      </c>
      <c r="BW562" s="25">
        <v>21</v>
      </c>
      <c r="BX562" s="5" t="s">
        <v>1697</v>
      </c>
    </row>
    <row r="563" spans="1:76" x14ac:dyDescent="0.25">
      <c r="A563" s="2" t="s">
        <v>1698</v>
      </c>
      <c r="B563" s="3" t="s">
        <v>1699</v>
      </c>
      <c r="C563" s="93" t="s">
        <v>1700</v>
      </c>
      <c r="D563" s="94"/>
      <c r="E563" s="3" t="s">
        <v>93</v>
      </c>
      <c r="F563" s="25">
        <v>133.56</v>
      </c>
      <c r="G563" s="25">
        <v>0</v>
      </c>
      <c r="H563" s="25">
        <f t="shared" si="514"/>
        <v>0</v>
      </c>
      <c r="I563" s="25">
        <f t="shared" si="515"/>
        <v>0</v>
      </c>
      <c r="J563" s="25">
        <f t="shared" si="516"/>
        <v>0</v>
      </c>
      <c r="K563" s="26" t="s">
        <v>53</v>
      </c>
      <c r="Z563" s="25">
        <f t="shared" si="517"/>
        <v>0</v>
      </c>
      <c r="AB563" s="25">
        <f t="shared" si="518"/>
        <v>0</v>
      </c>
      <c r="AC563" s="25">
        <f t="shared" si="519"/>
        <v>0</v>
      </c>
      <c r="AD563" s="25">
        <f t="shared" si="520"/>
        <v>0</v>
      </c>
      <c r="AE563" s="25">
        <f t="shared" si="521"/>
        <v>0</v>
      </c>
      <c r="AF563" s="25">
        <f t="shared" si="522"/>
        <v>0</v>
      </c>
      <c r="AG563" s="25">
        <f t="shared" si="523"/>
        <v>0</v>
      </c>
      <c r="AH563" s="25">
        <f t="shared" si="524"/>
        <v>0</v>
      </c>
      <c r="AI563" s="11" t="s">
        <v>46</v>
      </c>
      <c r="AJ563" s="25">
        <f t="shared" si="525"/>
        <v>0</v>
      </c>
      <c r="AK563" s="25">
        <f t="shared" si="526"/>
        <v>0</v>
      </c>
      <c r="AL563" s="25">
        <f t="shared" si="527"/>
        <v>0</v>
      </c>
      <c r="AN563" s="25">
        <v>21</v>
      </c>
      <c r="AO563" s="25">
        <f>G563*0</f>
        <v>0</v>
      </c>
      <c r="AP563" s="25">
        <f>G563*(1-0)</f>
        <v>0</v>
      </c>
      <c r="AQ563" s="27" t="s">
        <v>76</v>
      </c>
      <c r="AV563" s="25">
        <f t="shared" si="528"/>
        <v>0</v>
      </c>
      <c r="AW563" s="25">
        <f t="shared" si="529"/>
        <v>0</v>
      </c>
      <c r="AX563" s="25">
        <f t="shared" si="530"/>
        <v>0</v>
      </c>
      <c r="AY563" s="27" t="s">
        <v>1685</v>
      </c>
      <c r="AZ563" s="27" t="s">
        <v>1652</v>
      </c>
      <c r="BA563" s="11" t="s">
        <v>56</v>
      </c>
      <c r="BC563" s="25">
        <f t="shared" si="531"/>
        <v>0</v>
      </c>
      <c r="BD563" s="25">
        <f t="shared" si="532"/>
        <v>0</v>
      </c>
      <c r="BE563" s="25">
        <v>0</v>
      </c>
      <c r="BF563" s="25">
        <f>563</f>
        <v>563</v>
      </c>
      <c r="BH563" s="25">
        <f t="shared" si="533"/>
        <v>0</v>
      </c>
      <c r="BI563" s="25">
        <f t="shared" si="534"/>
        <v>0</v>
      </c>
      <c r="BJ563" s="25">
        <f t="shared" si="535"/>
        <v>0</v>
      </c>
      <c r="BK563" s="27" t="s">
        <v>57</v>
      </c>
      <c r="BL563" s="25">
        <v>776</v>
      </c>
      <c r="BW563" s="25">
        <v>21</v>
      </c>
      <c r="BX563" s="5" t="s">
        <v>1700</v>
      </c>
    </row>
    <row r="564" spans="1:76" x14ac:dyDescent="0.25">
      <c r="A564" s="2" t="s">
        <v>1701</v>
      </c>
      <c r="B564" s="3" t="s">
        <v>1702</v>
      </c>
      <c r="C564" s="93" t="s">
        <v>1703</v>
      </c>
      <c r="D564" s="94"/>
      <c r="E564" s="3" t="s">
        <v>93</v>
      </c>
      <c r="F564" s="25">
        <v>20.54</v>
      </c>
      <c r="G564" s="25">
        <v>0</v>
      </c>
      <c r="H564" s="25">
        <f t="shared" si="514"/>
        <v>0</v>
      </c>
      <c r="I564" s="25">
        <f t="shared" si="515"/>
        <v>0</v>
      </c>
      <c r="J564" s="25">
        <f t="shared" si="516"/>
        <v>0</v>
      </c>
      <c r="K564" s="26" t="s">
        <v>53</v>
      </c>
      <c r="Z564" s="25">
        <f t="shared" si="517"/>
        <v>0</v>
      </c>
      <c r="AB564" s="25">
        <f t="shared" si="518"/>
        <v>0</v>
      </c>
      <c r="AC564" s="25">
        <f t="shared" si="519"/>
        <v>0</v>
      </c>
      <c r="AD564" s="25">
        <f t="shared" si="520"/>
        <v>0</v>
      </c>
      <c r="AE564" s="25">
        <f t="shared" si="521"/>
        <v>0</v>
      </c>
      <c r="AF564" s="25">
        <f t="shared" si="522"/>
        <v>0</v>
      </c>
      <c r="AG564" s="25">
        <f t="shared" si="523"/>
        <v>0</v>
      </c>
      <c r="AH564" s="25">
        <f t="shared" si="524"/>
        <v>0</v>
      </c>
      <c r="AI564" s="11" t="s">
        <v>46</v>
      </c>
      <c r="AJ564" s="25">
        <f t="shared" si="525"/>
        <v>0</v>
      </c>
      <c r="AK564" s="25">
        <f t="shared" si="526"/>
        <v>0</v>
      </c>
      <c r="AL564" s="25">
        <f t="shared" si="527"/>
        <v>0</v>
      </c>
      <c r="AN564" s="25">
        <v>21</v>
      </c>
      <c r="AO564" s="25">
        <f>G564*0</f>
        <v>0</v>
      </c>
      <c r="AP564" s="25">
        <f>G564*(1-0)</f>
        <v>0</v>
      </c>
      <c r="AQ564" s="27" t="s">
        <v>76</v>
      </c>
      <c r="AV564" s="25">
        <f t="shared" si="528"/>
        <v>0</v>
      </c>
      <c r="AW564" s="25">
        <f t="shared" si="529"/>
        <v>0</v>
      </c>
      <c r="AX564" s="25">
        <f t="shared" si="530"/>
        <v>0</v>
      </c>
      <c r="AY564" s="27" t="s">
        <v>1685</v>
      </c>
      <c r="AZ564" s="27" t="s">
        <v>1652</v>
      </c>
      <c r="BA564" s="11" t="s">
        <v>56</v>
      </c>
      <c r="BC564" s="25">
        <f t="shared" si="531"/>
        <v>0</v>
      </c>
      <c r="BD564" s="25">
        <f t="shared" si="532"/>
        <v>0</v>
      </c>
      <c r="BE564" s="25">
        <v>0</v>
      </c>
      <c r="BF564" s="25">
        <f>564</f>
        <v>564</v>
      </c>
      <c r="BH564" s="25">
        <f t="shared" si="533"/>
        <v>0</v>
      </c>
      <c r="BI564" s="25">
        <f t="shared" si="534"/>
        <v>0</v>
      </c>
      <c r="BJ564" s="25">
        <f t="shared" si="535"/>
        <v>0</v>
      </c>
      <c r="BK564" s="27" t="s">
        <v>57</v>
      </c>
      <c r="BL564" s="25">
        <v>776</v>
      </c>
      <c r="BW564" s="25">
        <v>21</v>
      </c>
      <c r="BX564" s="5" t="s">
        <v>1703</v>
      </c>
    </row>
    <row r="565" spans="1:76" x14ac:dyDescent="0.25">
      <c r="A565" s="2" t="s">
        <v>1704</v>
      </c>
      <c r="B565" s="3" t="s">
        <v>1705</v>
      </c>
      <c r="C565" s="93" t="s">
        <v>1706</v>
      </c>
      <c r="D565" s="94"/>
      <c r="E565" s="3" t="s">
        <v>93</v>
      </c>
      <c r="F565" s="25">
        <v>502.75</v>
      </c>
      <c r="G565" s="25">
        <v>0</v>
      </c>
      <c r="H565" s="25">
        <f t="shared" si="514"/>
        <v>0</v>
      </c>
      <c r="I565" s="25">
        <f t="shared" si="515"/>
        <v>0</v>
      </c>
      <c r="J565" s="25">
        <f t="shared" si="516"/>
        <v>0</v>
      </c>
      <c r="K565" s="26" t="s">
        <v>53</v>
      </c>
      <c r="Z565" s="25">
        <f t="shared" si="517"/>
        <v>0</v>
      </c>
      <c r="AB565" s="25">
        <f t="shared" si="518"/>
        <v>0</v>
      </c>
      <c r="AC565" s="25">
        <f t="shared" si="519"/>
        <v>0</v>
      </c>
      <c r="AD565" s="25">
        <f t="shared" si="520"/>
        <v>0</v>
      </c>
      <c r="AE565" s="25">
        <f t="shared" si="521"/>
        <v>0</v>
      </c>
      <c r="AF565" s="25">
        <f t="shared" si="522"/>
        <v>0</v>
      </c>
      <c r="AG565" s="25">
        <f t="shared" si="523"/>
        <v>0</v>
      </c>
      <c r="AH565" s="25">
        <f t="shared" si="524"/>
        <v>0</v>
      </c>
      <c r="AI565" s="11" t="s">
        <v>46</v>
      </c>
      <c r="AJ565" s="25">
        <f t="shared" si="525"/>
        <v>0</v>
      </c>
      <c r="AK565" s="25">
        <f t="shared" si="526"/>
        <v>0</v>
      </c>
      <c r="AL565" s="25">
        <f t="shared" si="527"/>
        <v>0</v>
      </c>
      <c r="AN565" s="25">
        <v>21</v>
      </c>
      <c r="AO565" s="25">
        <f>G565*0.271380221</f>
        <v>0</v>
      </c>
      <c r="AP565" s="25">
        <f>G565*(1-0.271380221)</f>
        <v>0</v>
      </c>
      <c r="AQ565" s="27" t="s">
        <v>76</v>
      </c>
      <c r="AV565" s="25">
        <f t="shared" si="528"/>
        <v>0</v>
      </c>
      <c r="AW565" s="25">
        <f t="shared" si="529"/>
        <v>0</v>
      </c>
      <c r="AX565" s="25">
        <f t="shared" si="530"/>
        <v>0</v>
      </c>
      <c r="AY565" s="27" t="s">
        <v>1685</v>
      </c>
      <c r="AZ565" s="27" t="s">
        <v>1652</v>
      </c>
      <c r="BA565" s="11" t="s">
        <v>56</v>
      </c>
      <c r="BC565" s="25">
        <f t="shared" si="531"/>
        <v>0</v>
      </c>
      <c r="BD565" s="25">
        <f t="shared" si="532"/>
        <v>0</v>
      </c>
      <c r="BE565" s="25">
        <v>0</v>
      </c>
      <c r="BF565" s="25">
        <f>565</f>
        <v>565</v>
      </c>
      <c r="BH565" s="25">
        <f t="shared" si="533"/>
        <v>0</v>
      </c>
      <c r="BI565" s="25">
        <f t="shared" si="534"/>
        <v>0</v>
      </c>
      <c r="BJ565" s="25">
        <f t="shared" si="535"/>
        <v>0</v>
      </c>
      <c r="BK565" s="27" t="s">
        <v>57</v>
      </c>
      <c r="BL565" s="25">
        <v>776</v>
      </c>
      <c r="BW565" s="25">
        <v>21</v>
      </c>
      <c r="BX565" s="5" t="s">
        <v>1706</v>
      </c>
    </row>
    <row r="566" spans="1:76" x14ac:dyDescent="0.25">
      <c r="A566" s="2" t="s">
        <v>1707</v>
      </c>
      <c r="B566" s="3" t="s">
        <v>1708</v>
      </c>
      <c r="C566" s="93" t="s">
        <v>1709</v>
      </c>
      <c r="D566" s="94"/>
      <c r="E566" s="3" t="s">
        <v>93</v>
      </c>
      <c r="F566" s="25">
        <v>364.58800000000002</v>
      </c>
      <c r="G566" s="25">
        <v>0</v>
      </c>
      <c r="H566" s="25">
        <f t="shared" si="514"/>
        <v>0</v>
      </c>
      <c r="I566" s="25">
        <f t="shared" si="515"/>
        <v>0</v>
      </c>
      <c r="J566" s="25">
        <f t="shared" si="516"/>
        <v>0</v>
      </c>
      <c r="K566" s="26" t="s">
        <v>53</v>
      </c>
      <c r="Z566" s="25">
        <f t="shared" si="517"/>
        <v>0</v>
      </c>
      <c r="AB566" s="25">
        <f t="shared" si="518"/>
        <v>0</v>
      </c>
      <c r="AC566" s="25">
        <f t="shared" si="519"/>
        <v>0</v>
      </c>
      <c r="AD566" s="25">
        <f t="shared" si="520"/>
        <v>0</v>
      </c>
      <c r="AE566" s="25">
        <f t="shared" si="521"/>
        <v>0</v>
      </c>
      <c r="AF566" s="25">
        <f t="shared" si="522"/>
        <v>0</v>
      </c>
      <c r="AG566" s="25">
        <f t="shared" si="523"/>
        <v>0</v>
      </c>
      <c r="AH566" s="25">
        <f t="shared" si="524"/>
        <v>0</v>
      </c>
      <c r="AI566" s="11" t="s">
        <v>46</v>
      </c>
      <c r="AJ566" s="25">
        <f t="shared" si="525"/>
        <v>0</v>
      </c>
      <c r="AK566" s="25">
        <f t="shared" si="526"/>
        <v>0</v>
      </c>
      <c r="AL566" s="25">
        <f t="shared" si="527"/>
        <v>0</v>
      </c>
      <c r="AN566" s="25">
        <v>21</v>
      </c>
      <c r="AO566" s="25">
        <f>G566*1</f>
        <v>0</v>
      </c>
      <c r="AP566" s="25">
        <f>G566*(1-1)</f>
        <v>0</v>
      </c>
      <c r="AQ566" s="27" t="s">
        <v>76</v>
      </c>
      <c r="AV566" s="25">
        <f t="shared" si="528"/>
        <v>0</v>
      </c>
      <c r="AW566" s="25">
        <f t="shared" si="529"/>
        <v>0</v>
      </c>
      <c r="AX566" s="25">
        <f t="shared" si="530"/>
        <v>0</v>
      </c>
      <c r="AY566" s="27" t="s">
        <v>1685</v>
      </c>
      <c r="AZ566" s="27" t="s">
        <v>1652</v>
      </c>
      <c r="BA566" s="11" t="s">
        <v>56</v>
      </c>
      <c r="BC566" s="25">
        <f t="shared" si="531"/>
        <v>0</v>
      </c>
      <c r="BD566" s="25">
        <f t="shared" si="532"/>
        <v>0</v>
      </c>
      <c r="BE566" s="25">
        <v>0</v>
      </c>
      <c r="BF566" s="25">
        <f>566</f>
        <v>566</v>
      </c>
      <c r="BH566" s="25">
        <f t="shared" si="533"/>
        <v>0</v>
      </c>
      <c r="BI566" s="25">
        <f t="shared" si="534"/>
        <v>0</v>
      </c>
      <c r="BJ566" s="25">
        <f t="shared" si="535"/>
        <v>0</v>
      </c>
      <c r="BK566" s="27" t="s">
        <v>75</v>
      </c>
      <c r="BL566" s="25">
        <v>776</v>
      </c>
      <c r="BW566" s="25">
        <v>21</v>
      </c>
      <c r="BX566" s="5" t="s">
        <v>1709</v>
      </c>
    </row>
    <row r="567" spans="1:76" x14ac:dyDescent="0.25">
      <c r="A567" s="2" t="s">
        <v>1710</v>
      </c>
      <c r="B567" s="3" t="s">
        <v>1711</v>
      </c>
      <c r="C567" s="93" t="s">
        <v>1712</v>
      </c>
      <c r="D567" s="94"/>
      <c r="E567" s="3" t="s">
        <v>93</v>
      </c>
      <c r="F567" s="25">
        <v>263.85000000000002</v>
      </c>
      <c r="G567" s="25">
        <v>0</v>
      </c>
      <c r="H567" s="25">
        <f t="shared" si="514"/>
        <v>0</v>
      </c>
      <c r="I567" s="25">
        <f t="shared" si="515"/>
        <v>0</v>
      </c>
      <c r="J567" s="25">
        <f t="shared" si="516"/>
        <v>0</v>
      </c>
      <c r="K567" s="26" t="s">
        <v>53</v>
      </c>
      <c r="Z567" s="25">
        <f t="shared" si="517"/>
        <v>0</v>
      </c>
      <c r="AB567" s="25">
        <f t="shared" si="518"/>
        <v>0</v>
      </c>
      <c r="AC567" s="25">
        <f t="shared" si="519"/>
        <v>0</v>
      </c>
      <c r="AD567" s="25">
        <f t="shared" si="520"/>
        <v>0</v>
      </c>
      <c r="AE567" s="25">
        <f t="shared" si="521"/>
        <v>0</v>
      </c>
      <c r="AF567" s="25">
        <f t="shared" si="522"/>
        <v>0</v>
      </c>
      <c r="AG567" s="25">
        <f t="shared" si="523"/>
        <v>0</v>
      </c>
      <c r="AH567" s="25">
        <f t="shared" si="524"/>
        <v>0</v>
      </c>
      <c r="AI567" s="11" t="s">
        <v>46</v>
      </c>
      <c r="AJ567" s="25">
        <f t="shared" si="525"/>
        <v>0</v>
      </c>
      <c r="AK567" s="25">
        <f t="shared" si="526"/>
        <v>0</v>
      </c>
      <c r="AL567" s="25">
        <f t="shared" si="527"/>
        <v>0</v>
      </c>
      <c r="AN567" s="25">
        <v>21</v>
      </c>
      <c r="AO567" s="25">
        <f>G567*1</f>
        <v>0</v>
      </c>
      <c r="AP567" s="25">
        <f>G567*(1-1)</f>
        <v>0</v>
      </c>
      <c r="AQ567" s="27" t="s">
        <v>76</v>
      </c>
      <c r="AV567" s="25">
        <f t="shared" si="528"/>
        <v>0</v>
      </c>
      <c r="AW567" s="25">
        <f t="shared" si="529"/>
        <v>0</v>
      </c>
      <c r="AX567" s="25">
        <f t="shared" si="530"/>
        <v>0</v>
      </c>
      <c r="AY567" s="27" t="s">
        <v>1685</v>
      </c>
      <c r="AZ567" s="27" t="s">
        <v>1652</v>
      </c>
      <c r="BA567" s="11" t="s">
        <v>56</v>
      </c>
      <c r="BC567" s="25">
        <f t="shared" si="531"/>
        <v>0</v>
      </c>
      <c r="BD567" s="25">
        <f t="shared" si="532"/>
        <v>0</v>
      </c>
      <c r="BE567" s="25">
        <v>0</v>
      </c>
      <c r="BF567" s="25">
        <f>567</f>
        <v>567</v>
      </c>
      <c r="BH567" s="25">
        <f t="shared" si="533"/>
        <v>0</v>
      </c>
      <c r="BI567" s="25">
        <f t="shared" si="534"/>
        <v>0</v>
      </c>
      <c r="BJ567" s="25">
        <f t="shared" si="535"/>
        <v>0</v>
      </c>
      <c r="BK567" s="27" t="s">
        <v>75</v>
      </c>
      <c r="BL567" s="25">
        <v>776</v>
      </c>
      <c r="BW567" s="25">
        <v>21</v>
      </c>
      <c r="BX567" s="5" t="s">
        <v>1712</v>
      </c>
    </row>
    <row r="568" spans="1:76" x14ac:dyDescent="0.25">
      <c r="A568" s="2" t="s">
        <v>1713</v>
      </c>
      <c r="B568" s="3" t="s">
        <v>1714</v>
      </c>
      <c r="C568" s="93" t="s">
        <v>1715</v>
      </c>
      <c r="D568" s="94"/>
      <c r="E568" s="3" t="s">
        <v>71</v>
      </c>
      <c r="F568" s="25">
        <v>3.23</v>
      </c>
      <c r="G568" s="25">
        <v>0</v>
      </c>
      <c r="H568" s="25">
        <f t="shared" si="514"/>
        <v>0</v>
      </c>
      <c r="I568" s="25">
        <f t="shared" si="515"/>
        <v>0</v>
      </c>
      <c r="J568" s="25">
        <f t="shared" si="516"/>
        <v>0</v>
      </c>
      <c r="K568" s="26" t="s">
        <v>53</v>
      </c>
      <c r="Z568" s="25">
        <f t="shared" si="517"/>
        <v>0</v>
      </c>
      <c r="AB568" s="25">
        <f t="shared" si="518"/>
        <v>0</v>
      </c>
      <c r="AC568" s="25">
        <f t="shared" si="519"/>
        <v>0</v>
      </c>
      <c r="AD568" s="25">
        <f t="shared" si="520"/>
        <v>0</v>
      </c>
      <c r="AE568" s="25">
        <f t="shared" si="521"/>
        <v>0</v>
      </c>
      <c r="AF568" s="25">
        <f t="shared" si="522"/>
        <v>0</v>
      </c>
      <c r="AG568" s="25">
        <f t="shared" si="523"/>
        <v>0</v>
      </c>
      <c r="AH568" s="25">
        <f t="shared" si="524"/>
        <v>0</v>
      </c>
      <c r="AI568" s="11" t="s">
        <v>46</v>
      </c>
      <c r="AJ568" s="25">
        <f t="shared" si="525"/>
        <v>0</v>
      </c>
      <c r="AK568" s="25">
        <f t="shared" si="526"/>
        <v>0</v>
      </c>
      <c r="AL568" s="25">
        <f t="shared" si="527"/>
        <v>0</v>
      </c>
      <c r="AN568" s="25">
        <v>21</v>
      </c>
      <c r="AO568" s="25">
        <f>G568*0</f>
        <v>0</v>
      </c>
      <c r="AP568" s="25">
        <f>G568*(1-0)</f>
        <v>0</v>
      </c>
      <c r="AQ568" s="27" t="s">
        <v>68</v>
      </c>
      <c r="AV568" s="25">
        <f t="shared" si="528"/>
        <v>0</v>
      </c>
      <c r="AW568" s="25">
        <f t="shared" si="529"/>
        <v>0</v>
      </c>
      <c r="AX568" s="25">
        <f t="shared" si="530"/>
        <v>0</v>
      </c>
      <c r="AY568" s="27" t="s">
        <v>1685</v>
      </c>
      <c r="AZ568" s="27" t="s">
        <v>1652</v>
      </c>
      <c r="BA568" s="11" t="s">
        <v>56</v>
      </c>
      <c r="BC568" s="25">
        <f t="shared" si="531"/>
        <v>0</v>
      </c>
      <c r="BD568" s="25">
        <f t="shared" si="532"/>
        <v>0</v>
      </c>
      <c r="BE568" s="25">
        <v>0</v>
      </c>
      <c r="BF568" s="25">
        <f>568</f>
        <v>568</v>
      </c>
      <c r="BH568" s="25">
        <f t="shared" si="533"/>
        <v>0</v>
      </c>
      <c r="BI568" s="25">
        <f t="shared" si="534"/>
        <v>0</v>
      </c>
      <c r="BJ568" s="25">
        <f t="shared" si="535"/>
        <v>0</v>
      </c>
      <c r="BK568" s="27" t="s">
        <v>57</v>
      </c>
      <c r="BL568" s="25">
        <v>776</v>
      </c>
      <c r="BW568" s="25">
        <v>21</v>
      </c>
      <c r="BX568" s="5" t="s">
        <v>1715</v>
      </c>
    </row>
    <row r="569" spans="1:76" x14ac:dyDescent="0.25">
      <c r="A569" s="28" t="s">
        <v>46</v>
      </c>
      <c r="B569" s="29" t="s">
        <v>1716</v>
      </c>
      <c r="C569" s="150" t="s">
        <v>1717</v>
      </c>
      <c r="D569" s="151"/>
      <c r="E569" s="30" t="s">
        <v>4</v>
      </c>
      <c r="F569" s="30" t="s">
        <v>4</v>
      </c>
      <c r="G569" s="30" t="s">
        <v>4</v>
      </c>
      <c r="H569" s="1">
        <f>ROUND(SUM(H570:H577),1)</f>
        <v>0</v>
      </c>
      <c r="I569" s="1">
        <f>ROUND(SUM(I570:I577),1)</f>
        <v>0</v>
      </c>
      <c r="J569" s="1">
        <f>ROUND(SUM(J570:J577),1)</f>
        <v>0</v>
      </c>
      <c r="K569" s="31" t="s">
        <v>46</v>
      </c>
      <c r="AI569" s="11" t="s">
        <v>46</v>
      </c>
      <c r="AS569" s="1">
        <f>SUM(AJ570:AJ577)</f>
        <v>0</v>
      </c>
      <c r="AT569" s="1">
        <f>SUM(AK570:AK577)</f>
        <v>0</v>
      </c>
      <c r="AU569" s="1">
        <f>SUM(AL570:AL577)</f>
        <v>0</v>
      </c>
    </row>
    <row r="570" spans="1:76" x14ac:dyDescent="0.25">
      <c r="A570" s="2" t="s">
        <v>1718</v>
      </c>
      <c r="B570" s="3" t="s">
        <v>1719</v>
      </c>
      <c r="C570" s="93" t="s">
        <v>1720</v>
      </c>
      <c r="D570" s="94"/>
      <c r="E570" s="3" t="s">
        <v>93</v>
      </c>
      <c r="F570" s="25">
        <v>43.703000000000003</v>
      </c>
      <c r="G570" s="25">
        <v>0</v>
      </c>
      <c r="H570" s="25">
        <f t="shared" ref="H570:H577" si="536">ROUND(F570*AO570,2)</f>
        <v>0</v>
      </c>
      <c r="I570" s="25">
        <f t="shared" ref="I570:I577" si="537">ROUND(F570*AP570,2)</f>
        <v>0</v>
      </c>
      <c r="J570" s="25">
        <f t="shared" ref="J570:J577" si="538">ROUND(F570*G570,1)</f>
        <v>0</v>
      </c>
      <c r="K570" s="26" t="s">
        <v>53</v>
      </c>
      <c r="Z570" s="25">
        <f t="shared" ref="Z570:Z577" si="539">ROUND(IF(AQ570="5",BJ570,0),2)</f>
        <v>0</v>
      </c>
      <c r="AB570" s="25">
        <f t="shared" ref="AB570:AB577" si="540">ROUND(IF(AQ570="1",BH570,0),2)</f>
        <v>0</v>
      </c>
      <c r="AC570" s="25">
        <f t="shared" ref="AC570:AC577" si="541">ROUND(IF(AQ570="1",BI570,0),2)</f>
        <v>0</v>
      </c>
      <c r="AD570" s="25">
        <f t="shared" ref="AD570:AD577" si="542">ROUND(IF(AQ570="7",BH570,0),2)</f>
        <v>0</v>
      </c>
      <c r="AE570" s="25">
        <f t="shared" ref="AE570:AE577" si="543">ROUND(IF(AQ570="7",BI570,0),2)</f>
        <v>0</v>
      </c>
      <c r="AF570" s="25">
        <f t="shared" ref="AF570:AF577" si="544">ROUND(IF(AQ570="2",BH570,0),2)</f>
        <v>0</v>
      </c>
      <c r="AG570" s="25">
        <f t="shared" ref="AG570:AG577" si="545">ROUND(IF(AQ570="2",BI570,0),2)</f>
        <v>0</v>
      </c>
      <c r="AH570" s="25">
        <f t="shared" ref="AH570:AH577" si="546">ROUND(IF(AQ570="0",BJ570,0),2)</f>
        <v>0</v>
      </c>
      <c r="AI570" s="11" t="s">
        <v>46</v>
      </c>
      <c r="AJ570" s="25">
        <f t="shared" ref="AJ570:AJ577" si="547">IF(AN570=0,J570,0)</f>
        <v>0</v>
      </c>
      <c r="AK570" s="25">
        <f t="shared" ref="AK570:AK577" si="548">IF(AN570=12,J570,0)</f>
        <v>0</v>
      </c>
      <c r="AL570" s="25">
        <f t="shared" ref="AL570:AL577" si="549">IF(AN570=21,J570,0)</f>
        <v>0</v>
      </c>
      <c r="AN570" s="25">
        <v>21</v>
      </c>
      <c r="AO570" s="25">
        <f>G570*0.409999219</f>
        <v>0</v>
      </c>
      <c r="AP570" s="25">
        <f>G570*(1-0.409999219)</f>
        <v>0</v>
      </c>
      <c r="AQ570" s="27" t="s">
        <v>76</v>
      </c>
      <c r="AV570" s="25">
        <f t="shared" ref="AV570:AV577" si="550">ROUND(AW570+AX570,2)</f>
        <v>0</v>
      </c>
      <c r="AW570" s="25">
        <f t="shared" ref="AW570:AW577" si="551">ROUND(F570*AO570,2)</f>
        <v>0</v>
      </c>
      <c r="AX570" s="25">
        <f t="shared" ref="AX570:AX577" si="552">ROUND(F570*AP570,2)</f>
        <v>0</v>
      </c>
      <c r="AY570" s="27" t="s">
        <v>1721</v>
      </c>
      <c r="AZ570" s="27" t="s">
        <v>1722</v>
      </c>
      <c r="BA570" s="11" t="s">
        <v>56</v>
      </c>
      <c r="BC570" s="25">
        <f t="shared" ref="BC570:BC577" si="553">AW570+AX570</f>
        <v>0</v>
      </c>
      <c r="BD570" s="25">
        <f t="shared" ref="BD570:BD577" si="554">G570/(100-BE570)*100</f>
        <v>0</v>
      </c>
      <c r="BE570" s="25">
        <v>0</v>
      </c>
      <c r="BF570" s="25">
        <f>570</f>
        <v>570</v>
      </c>
      <c r="BH570" s="25">
        <f t="shared" ref="BH570:BH577" si="555">F570*AO570</f>
        <v>0</v>
      </c>
      <c r="BI570" s="25">
        <f t="shared" ref="BI570:BI577" si="556">F570*AP570</f>
        <v>0</v>
      </c>
      <c r="BJ570" s="25">
        <f t="shared" ref="BJ570:BJ577" si="557">F570*G570</f>
        <v>0</v>
      </c>
      <c r="BK570" s="27" t="s">
        <v>57</v>
      </c>
      <c r="BL570" s="25">
        <v>781</v>
      </c>
      <c r="BW570" s="25">
        <v>21</v>
      </c>
      <c r="BX570" s="5" t="s">
        <v>1720</v>
      </c>
    </row>
    <row r="571" spans="1:76" x14ac:dyDescent="0.25">
      <c r="A571" s="2" t="s">
        <v>1723</v>
      </c>
      <c r="B571" s="3" t="s">
        <v>1724</v>
      </c>
      <c r="C571" s="93" t="s">
        <v>1725</v>
      </c>
      <c r="D571" s="94"/>
      <c r="E571" s="3" t="s">
        <v>93</v>
      </c>
      <c r="F571" s="25">
        <v>308.32400000000001</v>
      </c>
      <c r="G571" s="25">
        <v>0</v>
      </c>
      <c r="H571" s="25">
        <f t="shared" si="536"/>
        <v>0</v>
      </c>
      <c r="I571" s="25">
        <f t="shared" si="537"/>
        <v>0</v>
      </c>
      <c r="J571" s="25">
        <f t="shared" si="538"/>
        <v>0</v>
      </c>
      <c r="K571" s="26" t="s">
        <v>53</v>
      </c>
      <c r="Z571" s="25">
        <f t="shared" si="539"/>
        <v>0</v>
      </c>
      <c r="AB571" s="25">
        <f t="shared" si="540"/>
        <v>0</v>
      </c>
      <c r="AC571" s="25">
        <f t="shared" si="541"/>
        <v>0</v>
      </c>
      <c r="AD571" s="25">
        <f t="shared" si="542"/>
        <v>0</v>
      </c>
      <c r="AE571" s="25">
        <f t="shared" si="543"/>
        <v>0</v>
      </c>
      <c r="AF571" s="25">
        <f t="shared" si="544"/>
        <v>0</v>
      </c>
      <c r="AG571" s="25">
        <f t="shared" si="545"/>
        <v>0</v>
      </c>
      <c r="AH571" s="25">
        <f t="shared" si="546"/>
        <v>0</v>
      </c>
      <c r="AI571" s="11" t="s">
        <v>46</v>
      </c>
      <c r="AJ571" s="25">
        <f t="shared" si="547"/>
        <v>0</v>
      </c>
      <c r="AK571" s="25">
        <f t="shared" si="548"/>
        <v>0</v>
      </c>
      <c r="AL571" s="25">
        <f t="shared" si="549"/>
        <v>0</v>
      </c>
      <c r="AN571" s="25">
        <v>21</v>
      </c>
      <c r="AO571" s="25">
        <f>G571*0.422532687</f>
        <v>0</v>
      </c>
      <c r="AP571" s="25">
        <f>G571*(1-0.422532687)</f>
        <v>0</v>
      </c>
      <c r="AQ571" s="27" t="s">
        <v>76</v>
      </c>
      <c r="AV571" s="25">
        <f t="shared" si="550"/>
        <v>0</v>
      </c>
      <c r="AW571" s="25">
        <f t="shared" si="551"/>
        <v>0</v>
      </c>
      <c r="AX571" s="25">
        <f t="shared" si="552"/>
        <v>0</v>
      </c>
      <c r="AY571" s="27" t="s">
        <v>1721</v>
      </c>
      <c r="AZ571" s="27" t="s">
        <v>1722</v>
      </c>
      <c r="BA571" s="11" t="s">
        <v>56</v>
      </c>
      <c r="BC571" s="25">
        <f t="shared" si="553"/>
        <v>0</v>
      </c>
      <c r="BD571" s="25">
        <f t="shared" si="554"/>
        <v>0</v>
      </c>
      <c r="BE571" s="25">
        <v>0</v>
      </c>
      <c r="BF571" s="25">
        <f>571</f>
        <v>571</v>
      </c>
      <c r="BH571" s="25">
        <f t="shared" si="555"/>
        <v>0</v>
      </c>
      <c r="BI571" s="25">
        <f t="shared" si="556"/>
        <v>0</v>
      </c>
      <c r="BJ571" s="25">
        <f t="shared" si="557"/>
        <v>0</v>
      </c>
      <c r="BK571" s="27" t="s">
        <v>57</v>
      </c>
      <c r="BL571" s="25">
        <v>781</v>
      </c>
      <c r="BW571" s="25">
        <v>21</v>
      </c>
      <c r="BX571" s="5" t="s">
        <v>1725</v>
      </c>
    </row>
    <row r="572" spans="1:76" x14ac:dyDescent="0.25">
      <c r="A572" s="2" t="s">
        <v>1726</v>
      </c>
      <c r="B572" s="3" t="s">
        <v>1727</v>
      </c>
      <c r="C572" s="93" t="s">
        <v>1728</v>
      </c>
      <c r="D572" s="94"/>
      <c r="E572" s="3" t="s">
        <v>93</v>
      </c>
      <c r="F572" s="25">
        <v>308.32400000000001</v>
      </c>
      <c r="G572" s="25">
        <v>0</v>
      </c>
      <c r="H572" s="25">
        <f t="shared" si="536"/>
        <v>0</v>
      </c>
      <c r="I572" s="25">
        <f t="shared" si="537"/>
        <v>0</v>
      </c>
      <c r="J572" s="25">
        <f t="shared" si="538"/>
        <v>0</v>
      </c>
      <c r="K572" s="26" t="s">
        <v>53</v>
      </c>
      <c r="Z572" s="25">
        <f t="shared" si="539"/>
        <v>0</v>
      </c>
      <c r="AB572" s="25">
        <f t="shared" si="540"/>
        <v>0</v>
      </c>
      <c r="AC572" s="25">
        <f t="shared" si="541"/>
        <v>0</v>
      </c>
      <c r="AD572" s="25">
        <f t="shared" si="542"/>
        <v>0</v>
      </c>
      <c r="AE572" s="25">
        <f t="shared" si="543"/>
        <v>0</v>
      </c>
      <c r="AF572" s="25">
        <f t="shared" si="544"/>
        <v>0</v>
      </c>
      <c r="AG572" s="25">
        <f t="shared" si="545"/>
        <v>0</v>
      </c>
      <c r="AH572" s="25">
        <f t="shared" si="546"/>
        <v>0</v>
      </c>
      <c r="AI572" s="11" t="s">
        <v>46</v>
      </c>
      <c r="AJ572" s="25">
        <f t="shared" si="547"/>
        <v>0</v>
      </c>
      <c r="AK572" s="25">
        <f t="shared" si="548"/>
        <v>0</v>
      </c>
      <c r="AL572" s="25">
        <f t="shared" si="549"/>
        <v>0</v>
      </c>
      <c r="AN572" s="25">
        <v>21</v>
      </c>
      <c r="AO572" s="25">
        <f>G572*0.138192178</f>
        <v>0</v>
      </c>
      <c r="AP572" s="25">
        <f>G572*(1-0.138192178)</f>
        <v>0</v>
      </c>
      <c r="AQ572" s="27" t="s">
        <v>76</v>
      </c>
      <c r="AV572" s="25">
        <f t="shared" si="550"/>
        <v>0</v>
      </c>
      <c r="AW572" s="25">
        <f t="shared" si="551"/>
        <v>0</v>
      </c>
      <c r="AX572" s="25">
        <f t="shared" si="552"/>
        <v>0</v>
      </c>
      <c r="AY572" s="27" t="s">
        <v>1721</v>
      </c>
      <c r="AZ572" s="27" t="s">
        <v>1722</v>
      </c>
      <c r="BA572" s="11" t="s">
        <v>56</v>
      </c>
      <c r="BC572" s="25">
        <f t="shared" si="553"/>
        <v>0</v>
      </c>
      <c r="BD572" s="25">
        <f t="shared" si="554"/>
        <v>0</v>
      </c>
      <c r="BE572" s="25">
        <v>0</v>
      </c>
      <c r="BF572" s="25">
        <f>572</f>
        <v>572</v>
      </c>
      <c r="BH572" s="25">
        <f t="shared" si="555"/>
        <v>0</v>
      </c>
      <c r="BI572" s="25">
        <f t="shared" si="556"/>
        <v>0</v>
      </c>
      <c r="BJ572" s="25">
        <f t="shared" si="557"/>
        <v>0</v>
      </c>
      <c r="BK572" s="27" t="s">
        <v>57</v>
      </c>
      <c r="BL572" s="25">
        <v>781</v>
      </c>
      <c r="BW572" s="25">
        <v>21</v>
      </c>
      <c r="BX572" s="5" t="s">
        <v>1728</v>
      </c>
    </row>
    <row r="573" spans="1:76" x14ac:dyDescent="0.25">
      <c r="A573" s="2" t="s">
        <v>1729</v>
      </c>
      <c r="B573" s="3" t="s">
        <v>1730</v>
      </c>
      <c r="C573" s="93" t="s">
        <v>1731</v>
      </c>
      <c r="D573" s="94"/>
      <c r="E573" s="3" t="s">
        <v>93</v>
      </c>
      <c r="F573" s="25">
        <v>323.74</v>
      </c>
      <c r="G573" s="25">
        <v>0</v>
      </c>
      <c r="H573" s="25">
        <f t="shared" si="536"/>
        <v>0</v>
      </c>
      <c r="I573" s="25">
        <f t="shared" si="537"/>
        <v>0</v>
      </c>
      <c r="J573" s="25">
        <f t="shared" si="538"/>
        <v>0</v>
      </c>
      <c r="K573" s="26" t="s">
        <v>53</v>
      </c>
      <c r="Z573" s="25">
        <f t="shared" si="539"/>
        <v>0</v>
      </c>
      <c r="AB573" s="25">
        <f t="shared" si="540"/>
        <v>0</v>
      </c>
      <c r="AC573" s="25">
        <f t="shared" si="541"/>
        <v>0</v>
      </c>
      <c r="AD573" s="25">
        <f t="shared" si="542"/>
        <v>0</v>
      </c>
      <c r="AE573" s="25">
        <f t="shared" si="543"/>
        <v>0</v>
      </c>
      <c r="AF573" s="25">
        <f t="shared" si="544"/>
        <v>0</v>
      </c>
      <c r="AG573" s="25">
        <f t="shared" si="545"/>
        <v>0</v>
      </c>
      <c r="AH573" s="25">
        <f t="shared" si="546"/>
        <v>0</v>
      </c>
      <c r="AI573" s="11" t="s">
        <v>46</v>
      </c>
      <c r="AJ573" s="25">
        <f t="shared" si="547"/>
        <v>0</v>
      </c>
      <c r="AK573" s="25">
        <f t="shared" si="548"/>
        <v>0</v>
      </c>
      <c r="AL573" s="25">
        <f t="shared" si="549"/>
        <v>0</v>
      </c>
      <c r="AN573" s="25">
        <v>21</v>
      </c>
      <c r="AO573" s="25">
        <f>G573*1</f>
        <v>0</v>
      </c>
      <c r="AP573" s="25">
        <f>G573*(1-1)</f>
        <v>0</v>
      </c>
      <c r="AQ573" s="27" t="s">
        <v>76</v>
      </c>
      <c r="AV573" s="25">
        <f t="shared" si="550"/>
        <v>0</v>
      </c>
      <c r="AW573" s="25">
        <f t="shared" si="551"/>
        <v>0</v>
      </c>
      <c r="AX573" s="25">
        <f t="shared" si="552"/>
        <v>0</v>
      </c>
      <c r="AY573" s="27" t="s">
        <v>1721</v>
      </c>
      <c r="AZ573" s="27" t="s">
        <v>1722</v>
      </c>
      <c r="BA573" s="11" t="s">
        <v>56</v>
      </c>
      <c r="BC573" s="25">
        <f t="shared" si="553"/>
        <v>0</v>
      </c>
      <c r="BD573" s="25">
        <f t="shared" si="554"/>
        <v>0</v>
      </c>
      <c r="BE573" s="25">
        <v>0</v>
      </c>
      <c r="BF573" s="25">
        <f>573</f>
        <v>573</v>
      </c>
      <c r="BH573" s="25">
        <f t="shared" si="555"/>
        <v>0</v>
      </c>
      <c r="BI573" s="25">
        <f t="shared" si="556"/>
        <v>0</v>
      </c>
      <c r="BJ573" s="25">
        <f t="shared" si="557"/>
        <v>0</v>
      </c>
      <c r="BK573" s="27" t="s">
        <v>75</v>
      </c>
      <c r="BL573" s="25">
        <v>781</v>
      </c>
      <c r="BW573" s="25">
        <v>21</v>
      </c>
      <c r="BX573" s="5" t="s">
        <v>1731</v>
      </c>
    </row>
    <row r="574" spans="1:76" x14ac:dyDescent="0.25">
      <c r="A574" s="2" t="s">
        <v>1732</v>
      </c>
      <c r="B574" s="3" t="s">
        <v>1733</v>
      </c>
      <c r="C574" s="93" t="s">
        <v>1734</v>
      </c>
      <c r="D574" s="94"/>
      <c r="E574" s="3" t="s">
        <v>93</v>
      </c>
      <c r="F574" s="25">
        <v>308.32400000000001</v>
      </c>
      <c r="G574" s="25">
        <v>0</v>
      </c>
      <c r="H574" s="25">
        <f t="shared" si="536"/>
        <v>0</v>
      </c>
      <c r="I574" s="25">
        <f t="shared" si="537"/>
        <v>0</v>
      </c>
      <c r="J574" s="25">
        <f t="shared" si="538"/>
        <v>0</v>
      </c>
      <c r="K574" s="26" t="s">
        <v>53</v>
      </c>
      <c r="Z574" s="25">
        <f t="shared" si="539"/>
        <v>0</v>
      </c>
      <c r="AB574" s="25">
        <f t="shared" si="540"/>
        <v>0</v>
      </c>
      <c r="AC574" s="25">
        <f t="shared" si="541"/>
        <v>0</v>
      </c>
      <c r="AD574" s="25">
        <f t="shared" si="542"/>
        <v>0</v>
      </c>
      <c r="AE574" s="25">
        <f t="shared" si="543"/>
        <v>0</v>
      </c>
      <c r="AF574" s="25">
        <f t="shared" si="544"/>
        <v>0</v>
      </c>
      <c r="AG574" s="25">
        <f t="shared" si="545"/>
        <v>0</v>
      </c>
      <c r="AH574" s="25">
        <f t="shared" si="546"/>
        <v>0</v>
      </c>
      <c r="AI574" s="11" t="s">
        <v>46</v>
      </c>
      <c r="AJ574" s="25">
        <f t="shared" si="547"/>
        <v>0</v>
      </c>
      <c r="AK574" s="25">
        <f t="shared" si="548"/>
        <v>0</v>
      </c>
      <c r="AL574" s="25">
        <f t="shared" si="549"/>
        <v>0</v>
      </c>
      <c r="AN574" s="25">
        <v>21</v>
      </c>
      <c r="AO574" s="25">
        <f>G574*1.000001272</f>
        <v>0</v>
      </c>
      <c r="AP574" s="25">
        <f>G574*(1-1.000001272)</f>
        <v>0</v>
      </c>
      <c r="AQ574" s="27" t="s">
        <v>76</v>
      </c>
      <c r="AV574" s="25">
        <f t="shared" si="550"/>
        <v>0</v>
      </c>
      <c r="AW574" s="25">
        <f t="shared" si="551"/>
        <v>0</v>
      </c>
      <c r="AX574" s="25">
        <f t="shared" si="552"/>
        <v>0</v>
      </c>
      <c r="AY574" s="27" t="s">
        <v>1721</v>
      </c>
      <c r="AZ574" s="27" t="s">
        <v>1722</v>
      </c>
      <c r="BA574" s="11" t="s">
        <v>56</v>
      </c>
      <c r="BC574" s="25">
        <f t="shared" si="553"/>
        <v>0</v>
      </c>
      <c r="BD574" s="25">
        <f t="shared" si="554"/>
        <v>0</v>
      </c>
      <c r="BE574" s="25">
        <v>0</v>
      </c>
      <c r="BF574" s="25">
        <f>574</f>
        <v>574</v>
      </c>
      <c r="BH574" s="25">
        <f t="shared" si="555"/>
        <v>0</v>
      </c>
      <c r="BI574" s="25">
        <f t="shared" si="556"/>
        <v>0</v>
      </c>
      <c r="BJ574" s="25">
        <f t="shared" si="557"/>
        <v>0</v>
      </c>
      <c r="BK574" s="27" t="s">
        <v>57</v>
      </c>
      <c r="BL574" s="25">
        <v>781</v>
      </c>
      <c r="BW574" s="25">
        <v>21</v>
      </c>
      <c r="BX574" s="5" t="s">
        <v>1734</v>
      </c>
    </row>
    <row r="575" spans="1:76" x14ac:dyDescent="0.25">
      <c r="A575" s="2" t="s">
        <v>1735</v>
      </c>
      <c r="B575" s="3" t="s">
        <v>1736</v>
      </c>
      <c r="C575" s="93" t="s">
        <v>1737</v>
      </c>
      <c r="D575" s="94"/>
      <c r="E575" s="3" t="s">
        <v>131</v>
      </c>
      <c r="F575" s="25">
        <v>168.38800000000001</v>
      </c>
      <c r="G575" s="25">
        <v>0</v>
      </c>
      <c r="H575" s="25">
        <f t="shared" si="536"/>
        <v>0</v>
      </c>
      <c r="I575" s="25">
        <f t="shared" si="537"/>
        <v>0</v>
      </c>
      <c r="J575" s="25">
        <f t="shared" si="538"/>
        <v>0</v>
      </c>
      <c r="K575" s="26" t="s">
        <v>53</v>
      </c>
      <c r="Z575" s="25">
        <f t="shared" si="539"/>
        <v>0</v>
      </c>
      <c r="AB575" s="25">
        <f t="shared" si="540"/>
        <v>0</v>
      </c>
      <c r="AC575" s="25">
        <f t="shared" si="541"/>
        <v>0</v>
      </c>
      <c r="AD575" s="25">
        <f t="shared" si="542"/>
        <v>0</v>
      </c>
      <c r="AE575" s="25">
        <f t="shared" si="543"/>
        <v>0</v>
      </c>
      <c r="AF575" s="25">
        <f t="shared" si="544"/>
        <v>0</v>
      </c>
      <c r="AG575" s="25">
        <f t="shared" si="545"/>
        <v>0</v>
      </c>
      <c r="AH575" s="25">
        <f t="shared" si="546"/>
        <v>0</v>
      </c>
      <c r="AI575" s="11" t="s">
        <v>46</v>
      </c>
      <c r="AJ575" s="25">
        <f t="shared" si="547"/>
        <v>0</v>
      </c>
      <c r="AK575" s="25">
        <f t="shared" si="548"/>
        <v>0</v>
      </c>
      <c r="AL575" s="25">
        <f t="shared" si="549"/>
        <v>0</v>
      </c>
      <c r="AN575" s="25">
        <v>21</v>
      </c>
      <c r="AO575" s="25">
        <f>G575*0.729926868</f>
        <v>0</v>
      </c>
      <c r="AP575" s="25">
        <f>G575*(1-0.729926868)</f>
        <v>0</v>
      </c>
      <c r="AQ575" s="27" t="s">
        <v>76</v>
      </c>
      <c r="AV575" s="25">
        <f t="shared" si="550"/>
        <v>0</v>
      </c>
      <c r="AW575" s="25">
        <f t="shared" si="551"/>
        <v>0</v>
      </c>
      <c r="AX575" s="25">
        <f t="shared" si="552"/>
        <v>0</v>
      </c>
      <c r="AY575" s="27" t="s">
        <v>1721</v>
      </c>
      <c r="AZ575" s="27" t="s">
        <v>1722</v>
      </c>
      <c r="BA575" s="11" t="s">
        <v>56</v>
      </c>
      <c r="BC575" s="25">
        <f t="shared" si="553"/>
        <v>0</v>
      </c>
      <c r="BD575" s="25">
        <f t="shared" si="554"/>
        <v>0</v>
      </c>
      <c r="BE575" s="25">
        <v>0</v>
      </c>
      <c r="BF575" s="25">
        <f>575</f>
        <v>575</v>
      </c>
      <c r="BH575" s="25">
        <f t="shared" si="555"/>
        <v>0</v>
      </c>
      <c r="BI575" s="25">
        <f t="shared" si="556"/>
        <v>0</v>
      </c>
      <c r="BJ575" s="25">
        <f t="shared" si="557"/>
        <v>0</v>
      </c>
      <c r="BK575" s="27" t="s">
        <v>57</v>
      </c>
      <c r="BL575" s="25">
        <v>781</v>
      </c>
      <c r="BW575" s="25">
        <v>21</v>
      </c>
      <c r="BX575" s="5" t="s">
        <v>1737</v>
      </c>
    </row>
    <row r="576" spans="1:76" x14ac:dyDescent="0.25">
      <c r="A576" s="2" t="s">
        <v>1738</v>
      </c>
      <c r="B576" s="3" t="s">
        <v>1739</v>
      </c>
      <c r="C576" s="93" t="s">
        <v>1740</v>
      </c>
      <c r="D576" s="94"/>
      <c r="E576" s="3" t="s">
        <v>131</v>
      </c>
      <c r="F576" s="25">
        <v>33.75</v>
      </c>
      <c r="G576" s="25">
        <v>0</v>
      </c>
      <c r="H576" s="25">
        <f t="shared" si="536"/>
        <v>0</v>
      </c>
      <c r="I576" s="25">
        <f t="shared" si="537"/>
        <v>0</v>
      </c>
      <c r="J576" s="25">
        <f t="shared" si="538"/>
        <v>0</v>
      </c>
      <c r="K576" s="26" t="s">
        <v>53</v>
      </c>
      <c r="Z576" s="25">
        <f t="shared" si="539"/>
        <v>0</v>
      </c>
      <c r="AB576" s="25">
        <f t="shared" si="540"/>
        <v>0</v>
      </c>
      <c r="AC576" s="25">
        <f t="shared" si="541"/>
        <v>0</v>
      </c>
      <c r="AD576" s="25">
        <f t="shared" si="542"/>
        <v>0</v>
      </c>
      <c r="AE576" s="25">
        <f t="shared" si="543"/>
        <v>0</v>
      </c>
      <c r="AF576" s="25">
        <f t="shared" si="544"/>
        <v>0</v>
      </c>
      <c r="AG576" s="25">
        <f t="shared" si="545"/>
        <v>0</v>
      </c>
      <c r="AH576" s="25">
        <f t="shared" si="546"/>
        <v>0</v>
      </c>
      <c r="AI576" s="11" t="s">
        <v>46</v>
      </c>
      <c r="AJ576" s="25">
        <f t="shared" si="547"/>
        <v>0</v>
      </c>
      <c r="AK576" s="25">
        <f t="shared" si="548"/>
        <v>0</v>
      </c>
      <c r="AL576" s="25">
        <f t="shared" si="549"/>
        <v>0</v>
      </c>
      <c r="AN576" s="25">
        <v>21</v>
      </c>
      <c r="AO576" s="25">
        <f>G576*0.729924879</f>
        <v>0</v>
      </c>
      <c r="AP576" s="25">
        <f>G576*(1-0.729924879)</f>
        <v>0</v>
      </c>
      <c r="AQ576" s="27" t="s">
        <v>76</v>
      </c>
      <c r="AV576" s="25">
        <f t="shared" si="550"/>
        <v>0</v>
      </c>
      <c r="AW576" s="25">
        <f t="shared" si="551"/>
        <v>0</v>
      </c>
      <c r="AX576" s="25">
        <f t="shared" si="552"/>
        <v>0</v>
      </c>
      <c r="AY576" s="27" t="s">
        <v>1721</v>
      </c>
      <c r="AZ576" s="27" t="s">
        <v>1722</v>
      </c>
      <c r="BA576" s="11" t="s">
        <v>56</v>
      </c>
      <c r="BC576" s="25">
        <f t="shared" si="553"/>
        <v>0</v>
      </c>
      <c r="BD576" s="25">
        <f t="shared" si="554"/>
        <v>0</v>
      </c>
      <c r="BE576" s="25">
        <v>0</v>
      </c>
      <c r="BF576" s="25">
        <f>576</f>
        <v>576</v>
      </c>
      <c r="BH576" s="25">
        <f t="shared" si="555"/>
        <v>0</v>
      </c>
      <c r="BI576" s="25">
        <f t="shared" si="556"/>
        <v>0</v>
      </c>
      <c r="BJ576" s="25">
        <f t="shared" si="557"/>
        <v>0</v>
      </c>
      <c r="BK576" s="27" t="s">
        <v>57</v>
      </c>
      <c r="BL576" s="25">
        <v>781</v>
      </c>
      <c r="BW576" s="25">
        <v>21</v>
      </c>
      <c r="BX576" s="5" t="s">
        <v>1740</v>
      </c>
    </row>
    <row r="577" spans="1:76" x14ac:dyDescent="0.25">
      <c r="A577" s="2" t="s">
        <v>1741</v>
      </c>
      <c r="B577" s="3" t="s">
        <v>1742</v>
      </c>
      <c r="C577" s="93" t="s">
        <v>1743</v>
      </c>
      <c r="D577" s="94"/>
      <c r="E577" s="3" t="s">
        <v>71</v>
      </c>
      <c r="F577" s="25">
        <v>5.5759999999999996</v>
      </c>
      <c r="G577" s="25">
        <v>0</v>
      </c>
      <c r="H577" s="25">
        <f t="shared" si="536"/>
        <v>0</v>
      </c>
      <c r="I577" s="25">
        <f t="shared" si="537"/>
        <v>0</v>
      </c>
      <c r="J577" s="25">
        <f t="shared" si="538"/>
        <v>0</v>
      </c>
      <c r="K577" s="26" t="s">
        <v>53</v>
      </c>
      <c r="Z577" s="25">
        <f t="shared" si="539"/>
        <v>0</v>
      </c>
      <c r="AB577" s="25">
        <f t="shared" si="540"/>
        <v>0</v>
      </c>
      <c r="AC577" s="25">
        <f t="shared" si="541"/>
        <v>0</v>
      </c>
      <c r="AD577" s="25">
        <f t="shared" si="542"/>
        <v>0</v>
      </c>
      <c r="AE577" s="25">
        <f t="shared" si="543"/>
        <v>0</v>
      </c>
      <c r="AF577" s="25">
        <f t="shared" si="544"/>
        <v>0</v>
      </c>
      <c r="AG577" s="25">
        <f t="shared" si="545"/>
        <v>0</v>
      </c>
      <c r="AH577" s="25">
        <f t="shared" si="546"/>
        <v>0</v>
      </c>
      <c r="AI577" s="11" t="s">
        <v>46</v>
      </c>
      <c r="AJ577" s="25">
        <f t="shared" si="547"/>
        <v>0</v>
      </c>
      <c r="AK577" s="25">
        <f t="shared" si="548"/>
        <v>0</v>
      </c>
      <c r="AL577" s="25">
        <f t="shared" si="549"/>
        <v>0</v>
      </c>
      <c r="AN577" s="25">
        <v>21</v>
      </c>
      <c r="AO577" s="25">
        <f>G577*0</f>
        <v>0</v>
      </c>
      <c r="AP577" s="25">
        <f>G577*(1-0)</f>
        <v>0</v>
      </c>
      <c r="AQ577" s="27" t="s">
        <v>68</v>
      </c>
      <c r="AV577" s="25">
        <f t="shared" si="550"/>
        <v>0</v>
      </c>
      <c r="AW577" s="25">
        <f t="shared" si="551"/>
        <v>0</v>
      </c>
      <c r="AX577" s="25">
        <f t="shared" si="552"/>
        <v>0</v>
      </c>
      <c r="AY577" s="27" t="s">
        <v>1721</v>
      </c>
      <c r="AZ577" s="27" t="s">
        <v>1722</v>
      </c>
      <c r="BA577" s="11" t="s">
        <v>56</v>
      </c>
      <c r="BC577" s="25">
        <f t="shared" si="553"/>
        <v>0</v>
      </c>
      <c r="BD577" s="25">
        <f t="shared" si="554"/>
        <v>0</v>
      </c>
      <c r="BE577" s="25">
        <v>0</v>
      </c>
      <c r="BF577" s="25">
        <f>577</f>
        <v>577</v>
      </c>
      <c r="BH577" s="25">
        <f t="shared" si="555"/>
        <v>0</v>
      </c>
      <c r="BI577" s="25">
        <f t="shared" si="556"/>
        <v>0</v>
      </c>
      <c r="BJ577" s="25">
        <f t="shared" si="557"/>
        <v>0</v>
      </c>
      <c r="BK577" s="27" t="s">
        <v>57</v>
      </c>
      <c r="BL577" s="25">
        <v>781</v>
      </c>
      <c r="BW577" s="25">
        <v>21</v>
      </c>
      <c r="BX577" s="5" t="s">
        <v>1743</v>
      </c>
    </row>
    <row r="578" spans="1:76" x14ac:dyDescent="0.25">
      <c r="A578" s="28" t="s">
        <v>46</v>
      </c>
      <c r="B578" s="29" t="s">
        <v>1744</v>
      </c>
      <c r="C578" s="150" t="s">
        <v>1745</v>
      </c>
      <c r="D578" s="151"/>
      <c r="E578" s="30" t="s">
        <v>4</v>
      </c>
      <c r="F578" s="30" t="s">
        <v>4</v>
      </c>
      <c r="G578" s="30" t="s">
        <v>4</v>
      </c>
      <c r="H578" s="1">
        <f>ROUND(SUM(H579:H589),1)</f>
        <v>0</v>
      </c>
      <c r="I578" s="1">
        <f>ROUND(SUM(I579:I589),1)</f>
        <v>0</v>
      </c>
      <c r="J578" s="1">
        <f>ROUND(SUM(J579:J589),1)</f>
        <v>0</v>
      </c>
      <c r="K578" s="31" t="s">
        <v>46</v>
      </c>
      <c r="AI578" s="11" t="s">
        <v>46</v>
      </c>
      <c r="AS578" s="1">
        <f>SUM(AJ579:AJ589)</f>
        <v>0</v>
      </c>
      <c r="AT578" s="1">
        <f>SUM(AK579:AK589)</f>
        <v>0</v>
      </c>
      <c r="AU578" s="1">
        <f>SUM(AL579:AL589)</f>
        <v>0</v>
      </c>
    </row>
    <row r="579" spans="1:76" x14ac:dyDescent="0.25">
      <c r="A579" s="2" t="s">
        <v>1746</v>
      </c>
      <c r="B579" s="3" t="s">
        <v>1747</v>
      </c>
      <c r="C579" s="93" t="s">
        <v>1748</v>
      </c>
      <c r="D579" s="94"/>
      <c r="E579" s="3" t="s">
        <v>93</v>
      </c>
      <c r="F579" s="25">
        <v>53.024999999999999</v>
      </c>
      <c r="G579" s="25">
        <v>0</v>
      </c>
      <c r="H579" s="25">
        <f t="shared" ref="H579:H589" si="558">ROUND(F579*AO579,2)</f>
        <v>0</v>
      </c>
      <c r="I579" s="25">
        <f t="shared" ref="I579:I589" si="559">ROUND(F579*AP579,2)</f>
        <v>0</v>
      </c>
      <c r="J579" s="25">
        <f t="shared" ref="J579:J589" si="560">ROUND(F579*G579,1)</f>
        <v>0</v>
      </c>
      <c r="K579" s="26" t="s">
        <v>53</v>
      </c>
      <c r="Z579" s="25">
        <f t="shared" ref="Z579:Z589" si="561">ROUND(IF(AQ579="5",BJ579,0),2)</f>
        <v>0</v>
      </c>
      <c r="AB579" s="25">
        <f t="shared" ref="AB579:AB589" si="562">ROUND(IF(AQ579="1",BH579,0),2)</f>
        <v>0</v>
      </c>
      <c r="AC579" s="25">
        <f t="shared" ref="AC579:AC589" si="563">ROUND(IF(AQ579="1",BI579,0),2)</f>
        <v>0</v>
      </c>
      <c r="AD579" s="25">
        <f t="shared" ref="AD579:AD589" si="564">ROUND(IF(AQ579="7",BH579,0),2)</f>
        <v>0</v>
      </c>
      <c r="AE579" s="25">
        <f t="shared" ref="AE579:AE589" si="565">ROUND(IF(AQ579="7",BI579,0),2)</f>
        <v>0</v>
      </c>
      <c r="AF579" s="25">
        <f t="shared" ref="AF579:AF589" si="566">ROUND(IF(AQ579="2",BH579,0),2)</f>
        <v>0</v>
      </c>
      <c r="AG579" s="25">
        <f t="shared" ref="AG579:AG589" si="567">ROUND(IF(AQ579="2",BI579,0),2)</f>
        <v>0</v>
      </c>
      <c r="AH579" s="25">
        <f t="shared" ref="AH579:AH589" si="568">ROUND(IF(AQ579="0",BJ579,0),2)</f>
        <v>0</v>
      </c>
      <c r="AI579" s="11" t="s">
        <v>46</v>
      </c>
      <c r="AJ579" s="25">
        <f t="shared" ref="AJ579:AJ589" si="569">IF(AN579=0,J579,0)</f>
        <v>0</v>
      </c>
      <c r="AK579" s="25">
        <f t="shared" ref="AK579:AK589" si="570">IF(AN579=12,J579,0)</f>
        <v>0</v>
      </c>
      <c r="AL579" s="25">
        <f t="shared" ref="AL579:AL589" si="571">IF(AN579=21,J579,0)</f>
        <v>0</v>
      </c>
      <c r="AN579" s="25">
        <v>21</v>
      </c>
      <c r="AO579" s="25">
        <f>G579*0.049773187</f>
        <v>0</v>
      </c>
      <c r="AP579" s="25">
        <f>G579*(1-0.049773187)</f>
        <v>0</v>
      </c>
      <c r="AQ579" s="27" t="s">
        <v>76</v>
      </c>
      <c r="AV579" s="25">
        <f t="shared" ref="AV579:AV589" si="572">ROUND(AW579+AX579,2)</f>
        <v>0</v>
      </c>
      <c r="AW579" s="25">
        <f t="shared" ref="AW579:AW589" si="573">ROUND(F579*AO579,2)</f>
        <v>0</v>
      </c>
      <c r="AX579" s="25">
        <f t="shared" ref="AX579:AX589" si="574">ROUND(F579*AP579,2)</f>
        <v>0</v>
      </c>
      <c r="AY579" s="27" t="s">
        <v>1749</v>
      </c>
      <c r="AZ579" s="27" t="s">
        <v>1722</v>
      </c>
      <c r="BA579" s="11" t="s">
        <v>56</v>
      </c>
      <c r="BC579" s="25">
        <f t="shared" ref="BC579:BC589" si="575">AW579+AX579</f>
        <v>0</v>
      </c>
      <c r="BD579" s="25">
        <f t="shared" ref="BD579:BD589" si="576">G579/(100-BE579)*100</f>
        <v>0</v>
      </c>
      <c r="BE579" s="25">
        <v>0</v>
      </c>
      <c r="BF579" s="25">
        <f>579</f>
        <v>579</v>
      </c>
      <c r="BH579" s="25">
        <f t="shared" ref="BH579:BH589" si="577">F579*AO579</f>
        <v>0</v>
      </c>
      <c r="BI579" s="25">
        <f t="shared" ref="BI579:BI589" si="578">F579*AP579</f>
        <v>0</v>
      </c>
      <c r="BJ579" s="25">
        <f t="shared" ref="BJ579:BJ589" si="579">F579*G579</f>
        <v>0</v>
      </c>
      <c r="BK579" s="27" t="s">
        <v>57</v>
      </c>
      <c r="BL579" s="25">
        <v>783</v>
      </c>
      <c r="BW579" s="25">
        <v>21</v>
      </c>
      <c r="BX579" s="5" t="s">
        <v>1748</v>
      </c>
    </row>
    <row r="580" spans="1:76" x14ac:dyDescent="0.25">
      <c r="A580" s="2" t="s">
        <v>1750</v>
      </c>
      <c r="B580" s="3" t="s">
        <v>1747</v>
      </c>
      <c r="C580" s="93" t="s">
        <v>1751</v>
      </c>
      <c r="D580" s="94"/>
      <c r="E580" s="3" t="s">
        <v>93</v>
      </c>
      <c r="F580" s="25">
        <v>234.2</v>
      </c>
      <c r="G580" s="25">
        <v>0</v>
      </c>
      <c r="H580" s="25">
        <f t="shared" si="558"/>
        <v>0</v>
      </c>
      <c r="I580" s="25">
        <f t="shared" si="559"/>
        <v>0</v>
      </c>
      <c r="J580" s="25">
        <f t="shared" si="560"/>
        <v>0</v>
      </c>
      <c r="K580" s="26" t="s">
        <v>53</v>
      </c>
      <c r="Z580" s="25">
        <f t="shared" si="561"/>
        <v>0</v>
      </c>
      <c r="AB580" s="25">
        <f t="shared" si="562"/>
        <v>0</v>
      </c>
      <c r="AC580" s="25">
        <f t="shared" si="563"/>
        <v>0</v>
      </c>
      <c r="AD580" s="25">
        <f t="shared" si="564"/>
        <v>0</v>
      </c>
      <c r="AE580" s="25">
        <f t="shared" si="565"/>
        <v>0</v>
      </c>
      <c r="AF580" s="25">
        <f t="shared" si="566"/>
        <v>0</v>
      </c>
      <c r="AG580" s="25">
        <f t="shared" si="567"/>
        <v>0</v>
      </c>
      <c r="AH580" s="25">
        <f t="shared" si="568"/>
        <v>0</v>
      </c>
      <c r="AI580" s="11" t="s">
        <v>46</v>
      </c>
      <c r="AJ580" s="25">
        <f t="shared" si="569"/>
        <v>0</v>
      </c>
      <c r="AK580" s="25">
        <f t="shared" si="570"/>
        <v>0</v>
      </c>
      <c r="AL580" s="25">
        <f t="shared" si="571"/>
        <v>0</v>
      </c>
      <c r="AN580" s="25">
        <v>21</v>
      </c>
      <c r="AO580" s="25">
        <f>G580*0.049773746</f>
        <v>0</v>
      </c>
      <c r="AP580" s="25">
        <f>G580*(1-0.049773746)</f>
        <v>0</v>
      </c>
      <c r="AQ580" s="27" t="s">
        <v>76</v>
      </c>
      <c r="AV580" s="25">
        <f t="shared" si="572"/>
        <v>0</v>
      </c>
      <c r="AW580" s="25">
        <f t="shared" si="573"/>
        <v>0</v>
      </c>
      <c r="AX580" s="25">
        <f t="shared" si="574"/>
        <v>0</v>
      </c>
      <c r="AY580" s="27" t="s">
        <v>1749</v>
      </c>
      <c r="AZ580" s="27" t="s">
        <v>1722</v>
      </c>
      <c r="BA580" s="11" t="s">
        <v>56</v>
      </c>
      <c r="BC580" s="25">
        <f t="shared" si="575"/>
        <v>0</v>
      </c>
      <c r="BD580" s="25">
        <f t="shared" si="576"/>
        <v>0</v>
      </c>
      <c r="BE580" s="25">
        <v>0</v>
      </c>
      <c r="BF580" s="25">
        <f>580</f>
        <v>580</v>
      </c>
      <c r="BH580" s="25">
        <f t="shared" si="577"/>
        <v>0</v>
      </c>
      <c r="BI580" s="25">
        <f t="shared" si="578"/>
        <v>0</v>
      </c>
      <c r="BJ580" s="25">
        <f t="shared" si="579"/>
        <v>0</v>
      </c>
      <c r="BK580" s="27" t="s">
        <v>57</v>
      </c>
      <c r="BL580" s="25">
        <v>783</v>
      </c>
      <c r="BW580" s="25">
        <v>21</v>
      </c>
      <c r="BX580" s="5" t="s">
        <v>1751</v>
      </c>
    </row>
    <row r="581" spans="1:76" ht="25.5" x14ac:dyDescent="0.25">
      <c r="A581" s="2" t="s">
        <v>1752</v>
      </c>
      <c r="B581" s="3" t="s">
        <v>1753</v>
      </c>
      <c r="C581" s="93" t="s">
        <v>1754</v>
      </c>
      <c r="D581" s="94"/>
      <c r="E581" s="3" t="s">
        <v>93</v>
      </c>
      <c r="F581" s="25">
        <v>234.2</v>
      </c>
      <c r="G581" s="25">
        <v>0</v>
      </c>
      <c r="H581" s="25">
        <f t="shared" si="558"/>
        <v>0</v>
      </c>
      <c r="I581" s="25">
        <f t="shared" si="559"/>
        <v>0</v>
      </c>
      <c r="J581" s="25">
        <f t="shared" si="560"/>
        <v>0</v>
      </c>
      <c r="K581" s="26" t="s">
        <v>53</v>
      </c>
      <c r="Z581" s="25">
        <f t="shared" si="561"/>
        <v>0</v>
      </c>
      <c r="AB581" s="25">
        <f t="shared" si="562"/>
        <v>0</v>
      </c>
      <c r="AC581" s="25">
        <f t="shared" si="563"/>
        <v>0</v>
      </c>
      <c r="AD581" s="25">
        <f t="shared" si="564"/>
        <v>0</v>
      </c>
      <c r="AE581" s="25">
        <f t="shared" si="565"/>
        <v>0</v>
      </c>
      <c r="AF581" s="25">
        <f t="shared" si="566"/>
        <v>0</v>
      </c>
      <c r="AG581" s="25">
        <f t="shared" si="567"/>
        <v>0</v>
      </c>
      <c r="AH581" s="25">
        <f t="shared" si="568"/>
        <v>0</v>
      </c>
      <c r="AI581" s="11" t="s">
        <v>46</v>
      </c>
      <c r="AJ581" s="25">
        <f t="shared" si="569"/>
        <v>0</v>
      </c>
      <c r="AK581" s="25">
        <f t="shared" si="570"/>
        <v>0</v>
      </c>
      <c r="AL581" s="25">
        <f t="shared" si="571"/>
        <v>0</v>
      </c>
      <c r="AN581" s="25">
        <v>21</v>
      </c>
      <c r="AO581" s="25">
        <f>G581*0.470040211</f>
        <v>0</v>
      </c>
      <c r="AP581" s="25">
        <f>G581*(1-0.470040211)</f>
        <v>0</v>
      </c>
      <c r="AQ581" s="27" t="s">
        <v>76</v>
      </c>
      <c r="AV581" s="25">
        <f t="shared" si="572"/>
        <v>0</v>
      </c>
      <c r="AW581" s="25">
        <f t="shared" si="573"/>
        <v>0</v>
      </c>
      <c r="AX581" s="25">
        <f t="shared" si="574"/>
        <v>0</v>
      </c>
      <c r="AY581" s="27" t="s">
        <v>1749</v>
      </c>
      <c r="AZ581" s="27" t="s">
        <v>1722</v>
      </c>
      <c r="BA581" s="11" t="s">
        <v>56</v>
      </c>
      <c r="BC581" s="25">
        <f t="shared" si="575"/>
        <v>0</v>
      </c>
      <c r="BD581" s="25">
        <f t="shared" si="576"/>
        <v>0</v>
      </c>
      <c r="BE581" s="25">
        <v>0</v>
      </c>
      <c r="BF581" s="25">
        <f>581</f>
        <v>581</v>
      </c>
      <c r="BH581" s="25">
        <f t="shared" si="577"/>
        <v>0</v>
      </c>
      <c r="BI581" s="25">
        <f t="shared" si="578"/>
        <v>0</v>
      </c>
      <c r="BJ581" s="25">
        <f t="shared" si="579"/>
        <v>0</v>
      </c>
      <c r="BK581" s="27" t="s">
        <v>57</v>
      </c>
      <c r="BL581" s="25">
        <v>783</v>
      </c>
      <c r="BW581" s="25">
        <v>21</v>
      </c>
      <c r="BX581" s="5" t="s">
        <v>1754</v>
      </c>
    </row>
    <row r="582" spans="1:76" x14ac:dyDescent="0.25">
      <c r="A582" s="2" t="s">
        <v>1755</v>
      </c>
      <c r="B582" s="3" t="s">
        <v>1756</v>
      </c>
      <c r="C582" s="93" t="s">
        <v>1757</v>
      </c>
      <c r="D582" s="94"/>
      <c r="E582" s="3" t="s">
        <v>93</v>
      </c>
      <c r="F582" s="25">
        <v>53.024999999999999</v>
      </c>
      <c r="G582" s="25">
        <v>0</v>
      </c>
      <c r="H582" s="25">
        <f t="shared" si="558"/>
        <v>0</v>
      </c>
      <c r="I582" s="25">
        <f t="shared" si="559"/>
        <v>0</v>
      </c>
      <c r="J582" s="25">
        <f t="shared" si="560"/>
        <v>0</v>
      </c>
      <c r="K582" s="26" t="s">
        <v>53</v>
      </c>
      <c r="Z582" s="25">
        <f t="shared" si="561"/>
        <v>0</v>
      </c>
      <c r="AB582" s="25">
        <f t="shared" si="562"/>
        <v>0</v>
      </c>
      <c r="AC582" s="25">
        <f t="shared" si="563"/>
        <v>0</v>
      </c>
      <c r="AD582" s="25">
        <f t="shared" si="564"/>
        <v>0</v>
      </c>
      <c r="AE582" s="25">
        <f t="shared" si="565"/>
        <v>0</v>
      </c>
      <c r="AF582" s="25">
        <f t="shared" si="566"/>
        <v>0</v>
      </c>
      <c r="AG582" s="25">
        <f t="shared" si="567"/>
        <v>0</v>
      </c>
      <c r="AH582" s="25">
        <f t="shared" si="568"/>
        <v>0</v>
      </c>
      <c r="AI582" s="11" t="s">
        <v>46</v>
      </c>
      <c r="AJ582" s="25">
        <f t="shared" si="569"/>
        <v>0</v>
      </c>
      <c r="AK582" s="25">
        <f t="shared" si="570"/>
        <v>0</v>
      </c>
      <c r="AL582" s="25">
        <f t="shared" si="571"/>
        <v>0</v>
      </c>
      <c r="AN582" s="25">
        <v>21</v>
      </c>
      <c r="AO582" s="25">
        <f>G582*0.167152427</f>
        <v>0</v>
      </c>
      <c r="AP582" s="25">
        <f>G582*(1-0.167152427)</f>
        <v>0</v>
      </c>
      <c r="AQ582" s="27" t="s">
        <v>76</v>
      </c>
      <c r="AV582" s="25">
        <f t="shared" si="572"/>
        <v>0</v>
      </c>
      <c r="AW582" s="25">
        <f t="shared" si="573"/>
        <v>0</v>
      </c>
      <c r="AX582" s="25">
        <f t="shared" si="574"/>
        <v>0</v>
      </c>
      <c r="AY582" s="27" t="s">
        <v>1749</v>
      </c>
      <c r="AZ582" s="27" t="s">
        <v>1722</v>
      </c>
      <c r="BA582" s="11" t="s">
        <v>56</v>
      </c>
      <c r="BC582" s="25">
        <f t="shared" si="575"/>
        <v>0</v>
      </c>
      <c r="BD582" s="25">
        <f t="shared" si="576"/>
        <v>0</v>
      </c>
      <c r="BE582" s="25">
        <v>0</v>
      </c>
      <c r="BF582" s="25">
        <f>582</f>
        <v>582</v>
      </c>
      <c r="BH582" s="25">
        <f t="shared" si="577"/>
        <v>0</v>
      </c>
      <c r="BI582" s="25">
        <f t="shared" si="578"/>
        <v>0</v>
      </c>
      <c r="BJ582" s="25">
        <f t="shared" si="579"/>
        <v>0</v>
      </c>
      <c r="BK582" s="27" t="s">
        <v>57</v>
      </c>
      <c r="BL582" s="25">
        <v>783</v>
      </c>
      <c r="BW582" s="25">
        <v>21</v>
      </c>
      <c r="BX582" s="5" t="s">
        <v>1757</v>
      </c>
    </row>
    <row r="583" spans="1:76" ht="25.5" x14ac:dyDescent="0.25">
      <c r="A583" s="2" t="s">
        <v>1758</v>
      </c>
      <c r="B583" s="3" t="s">
        <v>1759</v>
      </c>
      <c r="C583" s="93" t="s">
        <v>1760</v>
      </c>
      <c r="D583" s="94"/>
      <c r="E583" s="3" t="s">
        <v>93</v>
      </c>
      <c r="F583" s="25">
        <v>53.024999999999999</v>
      </c>
      <c r="G583" s="25">
        <v>0</v>
      </c>
      <c r="H583" s="25">
        <f t="shared" si="558"/>
        <v>0</v>
      </c>
      <c r="I583" s="25">
        <f t="shared" si="559"/>
        <v>0</v>
      </c>
      <c r="J583" s="25">
        <f t="shared" si="560"/>
        <v>0</v>
      </c>
      <c r="K583" s="26" t="s">
        <v>53</v>
      </c>
      <c r="Z583" s="25">
        <f t="shared" si="561"/>
        <v>0</v>
      </c>
      <c r="AB583" s="25">
        <f t="shared" si="562"/>
        <v>0</v>
      </c>
      <c r="AC583" s="25">
        <f t="shared" si="563"/>
        <v>0</v>
      </c>
      <c r="AD583" s="25">
        <f t="shared" si="564"/>
        <v>0</v>
      </c>
      <c r="AE583" s="25">
        <f t="shared" si="565"/>
        <v>0</v>
      </c>
      <c r="AF583" s="25">
        <f t="shared" si="566"/>
        <v>0</v>
      </c>
      <c r="AG583" s="25">
        <f t="shared" si="567"/>
        <v>0</v>
      </c>
      <c r="AH583" s="25">
        <f t="shared" si="568"/>
        <v>0</v>
      </c>
      <c r="AI583" s="11" t="s">
        <v>46</v>
      </c>
      <c r="AJ583" s="25">
        <f t="shared" si="569"/>
        <v>0</v>
      </c>
      <c r="AK583" s="25">
        <f t="shared" si="570"/>
        <v>0</v>
      </c>
      <c r="AL583" s="25">
        <f t="shared" si="571"/>
        <v>0</v>
      </c>
      <c r="AN583" s="25">
        <v>21</v>
      </c>
      <c r="AO583" s="25">
        <f>G583*0.140255708</f>
        <v>0</v>
      </c>
      <c r="AP583" s="25">
        <f>G583*(1-0.140255708)</f>
        <v>0</v>
      </c>
      <c r="AQ583" s="27" t="s">
        <v>76</v>
      </c>
      <c r="AV583" s="25">
        <f t="shared" si="572"/>
        <v>0</v>
      </c>
      <c r="AW583" s="25">
        <f t="shared" si="573"/>
        <v>0</v>
      </c>
      <c r="AX583" s="25">
        <f t="shared" si="574"/>
        <v>0</v>
      </c>
      <c r="AY583" s="27" t="s">
        <v>1749</v>
      </c>
      <c r="AZ583" s="27" t="s">
        <v>1722</v>
      </c>
      <c r="BA583" s="11" t="s">
        <v>56</v>
      </c>
      <c r="BC583" s="25">
        <f t="shared" si="575"/>
        <v>0</v>
      </c>
      <c r="BD583" s="25">
        <f t="shared" si="576"/>
        <v>0</v>
      </c>
      <c r="BE583" s="25">
        <v>0</v>
      </c>
      <c r="BF583" s="25">
        <f>583</f>
        <v>583</v>
      </c>
      <c r="BH583" s="25">
        <f t="shared" si="577"/>
        <v>0</v>
      </c>
      <c r="BI583" s="25">
        <f t="shared" si="578"/>
        <v>0</v>
      </c>
      <c r="BJ583" s="25">
        <f t="shared" si="579"/>
        <v>0</v>
      </c>
      <c r="BK583" s="27" t="s">
        <v>57</v>
      </c>
      <c r="BL583" s="25">
        <v>783</v>
      </c>
      <c r="BW583" s="25">
        <v>21</v>
      </c>
      <c r="BX583" s="5" t="s">
        <v>1760</v>
      </c>
    </row>
    <row r="584" spans="1:76" ht="25.5" x14ac:dyDescent="0.25">
      <c r="A584" s="2" t="s">
        <v>1761</v>
      </c>
      <c r="B584" s="3" t="s">
        <v>1759</v>
      </c>
      <c r="C584" s="93" t="s">
        <v>1762</v>
      </c>
      <c r="D584" s="94"/>
      <c r="E584" s="3" t="s">
        <v>93</v>
      </c>
      <c r="F584" s="25">
        <v>234.2</v>
      </c>
      <c r="G584" s="25">
        <v>0</v>
      </c>
      <c r="H584" s="25">
        <f t="shared" si="558"/>
        <v>0</v>
      </c>
      <c r="I584" s="25">
        <f t="shared" si="559"/>
        <v>0</v>
      </c>
      <c r="J584" s="25">
        <f t="shared" si="560"/>
        <v>0</v>
      </c>
      <c r="K584" s="26" t="s">
        <v>53</v>
      </c>
      <c r="Z584" s="25">
        <f t="shared" si="561"/>
        <v>0</v>
      </c>
      <c r="AB584" s="25">
        <f t="shared" si="562"/>
        <v>0</v>
      </c>
      <c r="AC584" s="25">
        <f t="shared" si="563"/>
        <v>0</v>
      </c>
      <c r="AD584" s="25">
        <f t="shared" si="564"/>
        <v>0</v>
      </c>
      <c r="AE584" s="25">
        <f t="shared" si="565"/>
        <v>0</v>
      </c>
      <c r="AF584" s="25">
        <f t="shared" si="566"/>
        <v>0</v>
      </c>
      <c r="AG584" s="25">
        <f t="shared" si="567"/>
        <v>0</v>
      </c>
      <c r="AH584" s="25">
        <f t="shared" si="568"/>
        <v>0</v>
      </c>
      <c r="AI584" s="11" t="s">
        <v>46</v>
      </c>
      <c r="AJ584" s="25">
        <f t="shared" si="569"/>
        <v>0</v>
      </c>
      <c r="AK584" s="25">
        <f t="shared" si="570"/>
        <v>0</v>
      </c>
      <c r="AL584" s="25">
        <f t="shared" si="571"/>
        <v>0</v>
      </c>
      <c r="AN584" s="25">
        <v>21</v>
      </c>
      <c r="AO584" s="25">
        <f>G584*0.14025641</f>
        <v>0</v>
      </c>
      <c r="AP584" s="25">
        <f>G584*(1-0.14025641)</f>
        <v>0</v>
      </c>
      <c r="AQ584" s="27" t="s">
        <v>76</v>
      </c>
      <c r="AV584" s="25">
        <f t="shared" si="572"/>
        <v>0</v>
      </c>
      <c r="AW584" s="25">
        <f t="shared" si="573"/>
        <v>0</v>
      </c>
      <c r="AX584" s="25">
        <f t="shared" si="574"/>
        <v>0</v>
      </c>
      <c r="AY584" s="27" t="s">
        <v>1749</v>
      </c>
      <c r="AZ584" s="27" t="s">
        <v>1722</v>
      </c>
      <c r="BA584" s="11" t="s">
        <v>56</v>
      </c>
      <c r="BC584" s="25">
        <f t="shared" si="575"/>
        <v>0</v>
      </c>
      <c r="BD584" s="25">
        <f t="shared" si="576"/>
        <v>0</v>
      </c>
      <c r="BE584" s="25">
        <v>0</v>
      </c>
      <c r="BF584" s="25">
        <f>584</f>
        <v>584</v>
      </c>
      <c r="BH584" s="25">
        <f t="shared" si="577"/>
        <v>0</v>
      </c>
      <c r="BI584" s="25">
        <f t="shared" si="578"/>
        <v>0</v>
      </c>
      <c r="BJ584" s="25">
        <f t="shared" si="579"/>
        <v>0</v>
      </c>
      <c r="BK584" s="27" t="s">
        <v>57</v>
      </c>
      <c r="BL584" s="25">
        <v>783</v>
      </c>
      <c r="BW584" s="25">
        <v>21</v>
      </c>
      <c r="BX584" s="5" t="s">
        <v>1762</v>
      </c>
    </row>
    <row r="585" spans="1:76" x14ac:dyDescent="0.25">
      <c r="A585" s="2" t="s">
        <v>1763</v>
      </c>
      <c r="B585" s="3" t="s">
        <v>1764</v>
      </c>
      <c r="C585" s="93" t="s">
        <v>1765</v>
      </c>
      <c r="D585" s="94"/>
      <c r="E585" s="3" t="s">
        <v>93</v>
      </c>
      <c r="F585" s="25">
        <v>427.92899999999997</v>
      </c>
      <c r="G585" s="25">
        <v>0</v>
      </c>
      <c r="H585" s="25">
        <f t="shared" si="558"/>
        <v>0</v>
      </c>
      <c r="I585" s="25">
        <f t="shared" si="559"/>
        <v>0</v>
      </c>
      <c r="J585" s="25">
        <f t="shared" si="560"/>
        <v>0</v>
      </c>
      <c r="K585" s="26" t="s">
        <v>53</v>
      </c>
      <c r="Z585" s="25">
        <f t="shared" si="561"/>
        <v>0</v>
      </c>
      <c r="AB585" s="25">
        <f t="shared" si="562"/>
        <v>0</v>
      </c>
      <c r="AC585" s="25">
        <f t="shared" si="563"/>
        <v>0</v>
      </c>
      <c r="AD585" s="25">
        <f t="shared" si="564"/>
        <v>0</v>
      </c>
      <c r="AE585" s="25">
        <f t="shared" si="565"/>
        <v>0</v>
      </c>
      <c r="AF585" s="25">
        <f t="shared" si="566"/>
        <v>0</v>
      </c>
      <c r="AG585" s="25">
        <f t="shared" si="567"/>
        <v>0</v>
      </c>
      <c r="AH585" s="25">
        <f t="shared" si="568"/>
        <v>0</v>
      </c>
      <c r="AI585" s="11" t="s">
        <v>46</v>
      </c>
      <c r="AJ585" s="25">
        <f t="shared" si="569"/>
        <v>0</v>
      </c>
      <c r="AK585" s="25">
        <f t="shared" si="570"/>
        <v>0</v>
      </c>
      <c r="AL585" s="25">
        <f t="shared" si="571"/>
        <v>0</v>
      </c>
      <c r="AN585" s="25">
        <v>21</v>
      </c>
      <c r="AO585" s="25">
        <f>G585*0.493573928</f>
        <v>0</v>
      </c>
      <c r="AP585" s="25">
        <f>G585*(1-0.493573928)</f>
        <v>0</v>
      </c>
      <c r="AQ585" s="27" t="s">
        <v>76</v>
      </c>
      <c r="AV585" s="25">
        <f t="shared" si="572"/>
        <v>0</v>
      </c>
      <c r="AW585" s="25">
        <f t="shared" si="573"/>
        <v>0</v>
      </c>
      <c r="AX585" s="25">
        <f t="shared" si="574"/>
        <v>0</v>
      </c>
      <c r="AY585" s="27" t="s">
        <v>1749</v>
      </c>
      <c r="AZ585" s="27" t="s">
        <v>1722</v>
      </c>
      <c r="BA585" s="11" t="s">
        <v>56</v>
      </c>
      <c r="BC585" s="25">
        <f t="shared" si="575"/>
        <v>0</v>
      </c>
      <c r="BD585" s="25">
        <f t="shared" si="576"/>
        <v>0</v>
      </c>
      <c r="BE585" s="25">
        <v>0</v>
      </c>
      <c r="BF585" s="25">
        <f>585</f>
        <v>585</v>
      </c>
      <c r="BH585" s="25">
        <f t="shared" si="577"/>
        <v>0</v>
      </c>
      <c r="BI585" s="25">
        <f t="shared" si="578"/>
        <v>0</v>
      </c>
      <c r="BJ585" s="25">
        <f t="shared" si="579"/>
        <v>0</v>
      </c>
      <c r="BK585" s="27" t="s">
        <v>57</v>
      </c>
      <c r="BL585" s="25">
        <v>783</v>
      </c>
      <c r="BW585" s="25">
        <v>21</v>
      </c>
      <c r="BX585" s="5" t="s">
        <v>1765</v>
      </c>
    </row>
    <row r="586" spans="1:76" x14ac:dyDescent="0.25">
      <c r="A586" s="2" t="s">
        <v>1766</v>
      </c>
      <c r="B586" s="3" t="s">
        <v>1767</v>
      </c>
      <c r="C586" s="93" t="s">
        <v>1768</v>
      </c>
      <c r="D586" s="94"/>
      <c r="E586" s="3" t="s">
        <v>93</v>
      </c>
      <c r="F586" s="25">
        <v>427.92899999999997</v>
      </c>
      <c r="G586" s="25">
        <v>0</v>
      </c>
      <c r="H586" s="25">
        <f t="shared" si="558"/>
        <v>0</v>
      </c>
      <c r="I586" s="25">
        <f t="shared" si="559"/>
        <v>0</v>
      </c>
      <c r="J586" s="25">
        <f t="shared" si="560"/>
        <v>0</v>
      </c>
      <c r="K586" s="26" t="s">
        <v>53</v>
      </c>
      <c r="Z586" s="25">
        <f t="shared" si="561"/>
        <v>0</v>
      </c>
      <c r="AB586" s="25">
        <f t="shared" si="562"/>
        <v>0</v>
      </c>
      <c r="AC586" s="25">
        <f t="shared" si="563"/>
        <v>0</v>
      </c>
      <c r="AD586" s="25">
        <f t="shared" si="564"/>
        <v>0</v>
      </c>
      <c r="AE586" s="25">
        <f t="shared" si="565"/>
        <v>0</v>
      </c>
      <c r="AF586" s="25">
        <f t="shared" si="566"/>
        <v>0</v>
      </c>
      <c r="AG586" s="25">
        <f t="shared" si="567"/>
        <v>0</v>
      </c>
      <c r="AH586" s="25">
        <f t="shared" si="568"/>
        <v>0</v>
      </c>
      <c r="AI586" s="11" t="s">
        <v>46</v>
      </c>
      <c r="AJ586" s="25">
        <f t="shared" si="569"/>
        <v>0</v>
      </c>
      <c r="AK586" s="25">
        <f t="shared" si="570"/>
        <v>0</v>
      </c>
      <c r="AL586" s="25">
        <f t="shared" si="571"/>
        <v>0</v>
      </c>
      <c r="AN586" s="25">
        <v>21</v>
      </c>
      <c r="AO586" s="25">
        <f>G586*0.557640269</f>
        <v>0</v>
      </c>
      <c r="AP586" s="25">
        <f>G586*(1-0.557640269)</f>
        <v>0</v>
      </c>
      <c r="AQ586" s="27" t="s">
        <v>76</v>
      </c>
      <c r="AV586" s="25">
        <f t="shared" si="572"/>
        <v>0</v>
      </c>
      <c r="AW586" s="25">
        <f t="shared" si="573"/>
        <v>0</v>
      </c>
      <c r="AX586" s="25">
        <f t="shared" si="574"/>
        <v>0</v>
      </c>
      <c r="AY586" s="27" t="s">
        <v>1749</v>
      </c>
      <c r="AZ586" s="27" t="s">
        <v>1722</v>
      </c>
      <c r="BA586" s="11" t="s">
        <v>56</v>
      </c>
      <c r="BC586" s="25">
        <f t="shared" si="575"/>
        <v>0</v>
      </c>
      <c r="BD586" s="25">
        <f t="shared" si="576"/>
        <v>0</v>
      </c>
      <c r="BE586" s="25">
        <v>0</v>
      </c>
      <c r="BF586" s="25">
        <f>586</f>
        <v>586</v>
      </c>
      <c r="BH586" s="25">
        <f t="shared" si="577"/>
        <v>0</v>
      </c>
      <c r="BI586" s="25">
        <f t="shared" si="578"/>
        <v>0</v>
      </c>
      <c r="BJ586" s="25">
        <f t="shared" si="579"/>
        <v>0</v>
      </c>
      <c r="BK586" s="27" t="s">
        <v>57</v>
      </c>
      <c r="BL586" s="25">
        <v>783</v>
      </c>
      <c r="BW586" s="25">
        <v>21</v>
      </c>
      <c r="BX586" s="5" t="s">
        <v>1768</v>
      </c>
    </row>
    <row r="587" spans="1:76" x14ac:dyDescent="0.25">
      <c r="A587" s="2" t="s">
        <v>1769</v>
      </c>
      <c r="B587" s="3" t="s">
        <v>1770</v>
      </c>
      <c r="C587" s="93" t="s">
        <v>1771</v>
      </c>
      <c r="D587" s="94"/>
      <c r="E587" s="3" t="s">
        <v>93</v>
      </c>
      <c r="F587" s="25">
        <v>53.024999999999999</v>
      </c>
      <c r="G587" s="25">
        <v>0</v>
      </c>
      <c r="H587" s="25">
        <f t="shared" si="558"/>
        <v>0</v>
      </c>
      <c r="I587" s="25">
        <f t="shared" si="559"/>
        <v>0</v>
      </c>
      <c r="J587" s="25">
        <f t="shared" si="560"/>
        <v>0</v>
      </c>
      <c r="K587" s="26" t="s">
        <v>53</v>
      </c>
      <c r="Z587" s="25">
        <f t="shared" si="561"/>
        <v>0</v>
      </c>
      <c r="AB587" s="25">
        <f t="shared" si="562"/>
        <v>0</v>
      </c>
      <c r="AC587" s="25">
        <f t="shared" si="563"/>
        <v>0</v>
      </c>
      <c r="AD587" s="25">
        <f t="shared" si="564"/>
        <v>0</v>
      </c>
      <c r="AE587" s="25">
        <f t="shared" si="565"/>
        <v>0</v>
      </c>
      <c r="AF587" s="25">
        <f t="shared" si="566"/>
        <v>0</v>
      </c>
      <c r="AG587" s="25">
        <f t="shared" si="567"/>
        <v>0</v>
      </c>
      <c r="AH587" s="25">
        <f t="shared" si="568"/>
        <v>0</v>
      </c>
      <c r="AI587" s="11" t="s">
        <v>46</v>
      </c>
      <c r="AJ587" s="25">
        <f t="shared" si="569"/>
        <v>0</v>
      </c>
      <c r="AK587" s="25">
        <f t="shared" si="570"/>
        <v>0</v>
      </c>
      <c r="AL587" s="25">
        <f t="shared" si="571"/>
        <v>0</v>
      </c>
      <c r="AN587" s="25">
        <v>21</v>
      </c>
      <c r="AO587" s="25">
        <f>G587*0.108674108</f>
        <v>0</v>
      </c>
      <c r="AP587" s="25">
        <f>G587*(1-0.108674108)</f>
        <v>0</v>
      </c>
      <c r="AQ587" s="27" t="s">
        <v>76</v>
      </c>
      <c r="AV587" s="25">
        <f t="shared" si="572"/>
        <v>0</v>
      </c>
      <c r="AW587" s="25">
        <f t="shared" si="573"/>
        <v>0</v>
      </c>
      <c r="AX587" s="25">
        <f t="shared" si="574"/>
        <v>0</v>
      </c>
      <c r="AY587" s="27" t="s">
        <v>1749</v>
      </c>
      <c r="AZ587" s="27" t="s">
        <v>1722</v>
      </c>
      <c r="BA587" s="11" t="s">
        <v>56</v>
      </c>
      <c r="BC587" s="25">
        <f t="shared" si="575"/>
        <v>0</v>
      </c>
      <c r="BD587" s="25">
        <f t="shared" si="576"/>
        <v>0</v>
      </c>
      <c r="BE587" s="25">
        <v>0</v>
      </c>
      <c r="BF587" s="25">
        <f>587</f>
        <v>587</v>
      </c>
      <c r="BH587" s="25">
        <f t="shared" si="577"/>
        <v>0</v>
      </c>
      <c r="BI587" s="25">
        <f t="shared" si="578"/>
        <v>0</v>
      </c>
      <c r="BJ587" s="25">
        <f t="shared" si="579"/>
        <v>0</v>
      </c>
      <c r="BK587" s="27" t="s">
        <v>57</v>
      </c>
      <c r="BL587" s="25">
        <v>783</v>
      </c>
      <c r="BW587" s="25">
        <v>21</v>
      </c>
      <c r="BX587" s="5" t="s">
        <v>1771</v>
      </c>
    </row>
    <row r="588" spans="1:76" x14ac:dyDescent="0.25">
      <c r="A588" s="2" t="s">
        <v>1772</v>
      </c>
      <c r="B588" s="3" t="s">
        <v>1770</v>
      </c>
      <c r="C588" s="93" t="s">
        <v>1773</v>
      </c>
      <c r="D588" s="94"/>
      <c r="E588" s="3" t="s">
        <v>93</v>
      </c>
      <c r="F588" s="25">
        <v>234.2</v>
      </c>
      <c r="G588" s="25">
        <v>0</v>
      </c>
      <c r="H588" s="25">
        <f t="shared" si="558"/>
        <v>0</v>
      </c>
      <c r="I588" s="25">
        <f t="shared" si="559"/>
        <v>0</v>
      </c>
      <c r="J588" s="25">
        <f t="shared" si="560"/>
        <v>0</v>
      </c>
      <c r="K588" s="26" t="s">
        <v>53</v>
      </c>
      <c r="Z588" s="25">
        <f t="shared" si="561"/>
        <v>0</v>
      </c>
      <c r="AB588" s="25">
        <f t="shared" si="562"/>
        <v>0</v>
      </c>
      <c r="AC588" s="25">
        <f t="shared" si="563"/>
        <v>0</v>
      </c>
      <c r="AD588" s="25">
        <f t="shared" si="564"/>
        <v>0</v>
      </c>
      <c r="AE588" s="25">
        <f t="shared" si="565"/>
        <v>0</v>
      </c>
      <c r="AF588" s="25">
        <f t="shared" si="566"/>
        <v>0</v>
      </c>
      <c r="AG588" s="25">
        <f t="shared" si="567"/>
        <v>0</v>
      </c>
      <c r="AH588" s="25">
        <f t="shared" si="568"/>
        <v>0</v>
      </c>
      <c r="AI588" s="11" t="s">
        <v>46</v>
      </c>
      <c r="AJ588" s="25">
        <f t="shared" si="569"/>
        <v>0</v>
      </c>
      <c r="AK588" s="25">
        <f t="shared" si="570"/>
        <v>0</v>
      </c>
      <c r="AL588" s="25">
        <f t="shared" si="571"/>
        <v>0</v>
      </c>
      <c r="AN588" s="25">
        <v>21</v>
      </c>
      <c r="AO588" s="25">
        <f>G588*0.108673725</f>
        <v>0</v>
      </c>
      <c r="AP588" s="25">
        <f>G588*(1-0.108673725)</f>
        <v>0</v>
      </c>
      <c r="AQ588" s="27" t="s">
        <v>76</v>
      </c>
      <c r="AV588" s="25">
        <f t="shared" si="572"/>
        <v>0</v>
      </c>
      <c r="AW588" s="25">
        <f t="shared" si="573"/>
        <v>0</v>
      </c>
      <c r="AX588" s="25">
        <f t="shared" si="574"/>
        <v>0</v>
      </c>
      <c r="AY588" s="27" t="s">
        <v>1749</v>
      </c>
      <c r="AZ588" s="27" t="s">
        <v>1722</v>
      </c>
      <c r="BA588" s="11" t="s">
        <v>56</v>
      </c>
      <c r="BC588" s="25">
        <f t="shared" si="575"/>
        <v>0</v>
      </c>
      <c r="BD588" s="25">
        <f t="shared" si="576"/>
        <v>0</v>
      </c>
      <c r="BE588" s="25">
        <v>0</v>
      </c>
      <c r="BF588" s="25">
        <f>588</f>
        <v>588</v>
      </c>
      <c r="BH588" s="25">
        <f t="shared" si="577"/>
        <v>0</v>
      </c>
      <c r="BI588" s="25">
        <f t="shared" si="578"/>
        <v>0</v>
      </c>
      <c r="BJ588" s="25">
        <f t="shared" si="579"/>
        <v>0</v>
      </c>
      <c r="BK588" s="27" t="s">
        <v>57</v>
      </c>
      <c r="BL588" s="25">
        <v>783</v>
      </c>
      <c r="BW588" s="25">
        <v>21</v>
      </c>
      <c r="BX588" s="5" t="s">
        <v>1773</v>
      </c>
    </row>
    <row r="589" spans="1:76" x14ac:dyDescent="0.25">
      <c r="A589" s="2" t="s">
        <v>1774</v>
      </c>
      <c r="B589" s="3" t="s">
        <v>1775</v>
      </c>
      <c r="C589" s="93" t="s">
        <v>1776</v>
      </c>
      <c r="D589" s="94"/>
      <c r="E589" s="3" t="s">
        <v>93</v>
      </c>
      <c r="F589" s="25">
        <v>234.2</v>
      </c>
      <c r="G589" s="25">
        <v>0</v>
      </c>
      <c r="H589" s="25">
        <f t="shared" si="558"/>
        <v>0</v>
      </c>
      <c r="I589" s="25">
        <f t="shared" si="559"/>
        <v>0</v>
      </c>
      <c r="J589" s="25">
        <f t="shared" si="560"/>
        <v>0</v>
      </c>
      <c r="K589" s="26" t="s">
        <v>53</v>
      </c>
      <c r="Z589" s="25">
        <f t="shared" si="561"/>
        <v>0</v>
      </c>
      <c r="AB589" s="25">
        <f t="shared" si="562"/>
        <v>0</v>
      </c>
      <c r="AC589" s="25">
        <f t="shared" si="563"/>
        <v>0</v>
      </c>
      <c r="AD589" s="25">
        <f t="shared" si="564"/>
        <v>0</v>
      </c>
      <c r="AE589" s="25">
        <f t="shared" si="565"/>
        <v>0</v>
      </c>
      <c r="AF589" s="25">
        <f t="shared" si="566"/>
        <v>0</v>
      </c>
      <c r="AG589" s="25">
        <f t="shared" si="567"/>
        <v>0</v>
      </c>
      <c r="AH589" s="25">
        <f t="shared" si="568"/>
        <v>0</v>
      </c>
      <c r="AI589" s="11" t="s">
        <v>46</v>
      </c>
      <c r="AJ589" s="25">
        <f t="shared" si="569"/>
        <v>0</v>
      </c>
      <c r="AK589" s="25">
        <f t="shared" si="570"/>
        <v>0</v>
      </c>
      <c r="AL589" s="25">
        <f t="shared" si="571"/>
        <v>0</v>
      </c>
      <c r="AN589" s="25">
        <v>21</v>
      </c>
      <c r="AO589" s="25">
        <f>G589*0.061279034</f>
        <v>0</v>
      </c>
      <c r="AP589" s="25">
        <f>G589*(1-0.061279034)</f>
        <v>0</v>
      </c>
      <c r="AQ589" s="27" t="s">
        <v>76</v>
      </c>
      <c r="AV589" s="25">
        <f t="shared" si="572"/>
        <v>0</v>
      </c>
      <c r="AW589" s="25">
        <f t="shared" si="573"/>
        <v>0</v>
      </c>
      <c r="AX589" s="25">
        <f t="shared" si="574"/>
        <v>0</v>
      </c>
      <c r="AY589" s="27" t="s">
        <v>1749</v>
      </c>
      <c r="AZ589" s="27" t="s">
        <v>1722</v>
      </c>
      <c r="BA589" s="11" t="s">
        <v>56</v>
      </c>
      <c r="BC589" s="25">
        <f t="shared" si="575"/>
        <v>0</v>
      </c>
      <c r="BD589" s="25">
        <f t="shared" si="576"/>
        <v>0</v>
      </c>
      <c r="BE589" s="25">
        <v>0</v>
      </c>
      <c r="BF589" s="25">
        <f>589</f>
        <v>589</v>
      </c>
      <c r="BH589" s="25">
        <f t="shared" si="577"/>
        <v>0</v>
      </c>
      <c r="BI589" s="25">
        <f t="shared" si="578"/>
        <v>0</v>
      </c>
      <c r="BJ589" s="25">
        <f t="shared" si="579"/>
        <v>0</v>
      </c>
      <c r="BK589" s="27" t="s">
        <v>57</v>
      </c>
      <c r="BL589" s="25">
        <v>783</v>
      </c>
      <c r="BW589" s="25">
        <v>21</v>
      </c>
      <c r="BX589" s="5" t="s">
        <v>1776</v>
      </c>
    </row>
    <row r="590" spans="1:76" x14ac:dyDescent="0.25">
      <c r="A590" s="28" t="s">
        <v>46</v>
      </c>
      <c r="B590" s="29" t="s">
        <v>1777</v>
      </c>
      <c r="C590" s="150" t="s">
        <v>1778</v>
      </c>
      <c r="D590" s="151"/>
      <c r="E590" s="30" t="s">
        <v>4</v>
      </c>
      <c r="F590" s="30" t="s">
        <v>4</v>
      </c>
      <c r="G590" s="30" t="s">
        <v>4</v>
      </c>
      <c r="H590" s="1">
        <f>ROUND(SUM(H591:H601),1)</f>
        <v>0</v>
      </c>
      <c r="I590" s="1">
        <f>ROUND(SUM(I591:I601),1)</f>
        <v>0</v>
      </c>
      <c r="J590" s="1">
        <f>ROUND(SUM(J591:J601),1)</f>
        <v>0</v>
      </c>
      <c r="K590" s="31" t="s">
        <v>46</v>
      </c>
      <c r="AI590" s="11" t="s">
        <v>46</v>
      </c>
      <c r="AS590" s="1">
        <f>SUM(AJ591:AJ601)</f>
        <v>0</v>
      </c>
      <c r="AT590" s="1">
        <f>SUM(AK591:AK601)</f>
        <v>0</v>
      </c>
      <c r="AU590" s="1">
        <f>SUM(AL591:AL601)</f>
        <v>0</v>
      </c>
    </row>
    <row r="591" spans="1:76" x14ac:dyDescent="0.25">
      <c r="A591" s="2" t="s">
        <v>1779</v>
      </c>
      <c r="B591" s="3" t="s">
        <v>1780</v>
      </c>
      <c r="C591" s="93" t="s">
        <v>1781</v>
      </c>
      <c r="D591" s="94"/>
      <c r="E591" s="3" t="s">
        <v>93</v>
      </c>
      <c r="F591" s="25">
        <v>1043.1110000000001</v>
      </c>
      <c r="G591" s="25">
        <v>0</v>
      </c>
      <c r="H591" s="25">
        <f t="shared" ref="H591:H601" si="580">ROUND(F591*AO591,2)</f>
        <v>0</v>
      </c>
      <c r="I591" s="25">
        <f t="shared" ref="I591:I601" si="581">ROUND(F591*AP591,2)</f>
        <v>0</v>
      </c>
      <c r="J591" s="25">
        <f t="shared" ref="J591:J601" si="582">ROUND(F591*G591,1)</f>
        <v>0</v>
      </c>
      <c r="K591" s="26" t="s">
        <v>53</v>
      </c>
      <c r="Z591" s="25">
        <f t="shared" ref="Z591:Z601" si="583">ROUND(IF(AQ591="5",BJ591,0),2)</f>
        <v>0</v>
      </c>
      <c r="AB591" s="25">
        <f t="shared" ref="AB591:AB601" si="584">ROUND(IF(AQ591="1",BH591,0),2)</f>
        <v>0</v>
      </c>
      <c r="AC591" s="25">
        <f t="shared" ref="AC591:AC601" si="585">ROUND(IF(AQ591="1",BI591,0),2)</f>
        <v>0</v>
      </c>
      <c r="AD591" s="25">
        <f t="shared" ref="AD591:AD601" si="586">ROUND(IF(AQ591="7",BH591,0),2)</f>
        <v>0</v>
      </c>
      <c r="AE591" s="25">
        <f t="shared" ref="AE591:AE601" si="587">ROUND(IF(AQ591="7",BI591,0),2)</f>
        <v>0</v>
      </c>
      <c r="AF591" s="25">
        <f t="shared" ref="AF591:AF601" si="588">ROUND(IF(AQ591="2",BH591,0),2)</f>
        <v>0</v>
      </c>
      <c r="AG591" s="25">
        <f t="shared" ref="AG591:AG601" si="589">ROUND(IF(AQ591="2",BI591,0),2)</f>
        <v>0</v>
      </c>
      <c r="AH591" s="25">
        <f t="shared" ref="AH591:AH601" si="590">ROUND(IF(AQ591="0",BJ591,0),2)</f>
        <v>0</v>
      </c>
      <c r="AI591" s="11" t="s">
        <v>46</v>
      </c>
      <c r="AJ591" s="25">
        <f t="shared" ref="AJ591:AJ601" si="591">IF(AN591=0,J591,0)</f>
        <v>0</v>
      </c>
      <c r="AK591" s="25">
        <f t="shared" ref="AK591:AK601" si="592">IF(AN591=12,J591,0)</f>
        <v>0</v>
      </c>
      <c r="AL591" s="25">
        <f t="shared" ref="AL591:AL601" si="593">IF(AN591=21,J591,0)</f>
        <v>0</v>
      </c>
      <c r="AN591" s="25">
        <v>21</v>
      </c>
      <c r="AO591" s="25">
        <f>G591*0.002099197</f>
        <v>0</v>
      </c>
      <c r="AP591" s="25">
        <f>G591*(1-0.002099197)</f>
        <v>0</v>
      </c>
      <c r="AQ591" s="27" t="s">
        <v>76</v>
      </c>
      <c r="AV591" s="25">
        <f t="shared" ref="AV591:AV601" si="594">ROUND(AW591+AX591,2)</f>
        <v>0</v>
      </c>
      <c r="AW591" s="25">
        <f t="shared" ref="AW591:AW601" si="595">ROUND(F591*AO591,2)</f>
        <v>0</v>
      </c>
      <c r="AX591" s="25">
        <f t="shared" ref="AX591:AX601" si="596">ROUND(F591*AP591,2)</f>
        <v>0</v>
      </c>
      <c r="AY591" s="27" t="s">
        <v>1782</v>
      </c>
      <c r="AZ591" s="27" t="s">
        <v>1722</v>
      </c>
      <c r="BA591" s="11" t="s">
        <v>56</v>
      </c>
      <c r="BC591" s="25">
        <f t="shared" ref="BC591:BC601" si="597">AW591+AX591</f>
        <v>0</v>
      </c>
      <c r="BD591" s="25">
        <f t="shared" ref="BD591:BD601" si="598">G591/(100-BE591)*100</f>
        <v>0</v>
      </c>
      <c r="BE591" s="25">
        <v>0</v>
      </c>
      <c r="BF591" s="25">
        <f>591</f>
        <v>591</v>
      </c>
      <c r="BH591" s="25">
        <f t="shared" ref="BH591:BH601" si="599">F591*AO591</f>
        <v>0</v>
      </c>
      <c r="BI591" s="25">
        <f t="shared" ref="BI591:BI601" si="600">F591*AP591</f>
        <v>0</v>
      </c>
      <c r="BJ591" s="25">
        <f t="shared" ref="BJ591:BJ601" si="601">F591*G591</f>
        <v>0</v>
      </c>
      <c r="BK591" s="27" t="s">
        <v>57</v>
      </c>
      <c r="BL591" s="25">
        <v>784</v>
      </c>
      <c r="BW591" s="25">
        <v>21</v>
      </c>
      <c r="BX591" s="5" t="s">
        <v>1781</v>
      </c>
    </row>
    <row r="592" spans="1:76" x14ac:dyDescent="0.25">
      <c r="A592" s="2" t="s">
        <v>1783</v>
      </c>
      <c r="B592" s="3" t="s">
        <v>1784</v>
      </c>
      <c r="C592" s="93" t="s">
        <v>1785</v>
      </c>
      <c r="D592" s="94"/>
      <c r="E592" s="3" t="s">
        <v>93</v>
      </c>
      <c r="F592" s="25">
        <v>1005.3339999999999</v>
      </c>
      <c r="G592" s="25">
        <v>0</v>
      </c>
      <c r="H592" s="25">
        <f t="shared" si="580"/>
        <v>0</v>
      </c>
      <c r="I592" s="25">
        <f t="shared" si="581"/>
        <v>0</v>
      </c>
      <c r="J592" s="25">
        <f t="shared" si="582"/>
        <v>0</v>
      </c>
      <c r="K592" s="26" t="s">
        <v>53</v>
      </c>
      <c r="Z592" s="25">
        <f t="shared" si="583"/>
        <v>0</v>
      </c>
      <c r="AB592" s="25">
        <f t="shared" si="584"/>
        <v>0</v>
      </c>
      <c r="AC592" s="25">
        <f t="shared" si="585"/>
        <v>0</v>
      </c>
      <c r="AD592" s="25">
        <f t="shared" si="586"/>
        <v>0</v>
      </c>
      <c r="AE592" s="25">
        <f t="shared" si="587"/>
        <v>0</v>
      </c>
      <c r="AF592" s="25">
        <f t="shared" si="588"/>
        <v>0</v>
      </c>
      <c r="AG592" s="25">
        <f t="shared" si="589"/>
        <v>0</v>
      </c>
      <c r="AH592" s="25">
        <f t="shared" si="590"/>
        <v>0</v>
      </c>
      <c r="AI592" s="11" t="s">
        <v>46</v>
      </c>
      <c r="AJ592" s="25">
        <f t="shared" si="591"/>
        <v>0</v>
      </c>
      <c r="AK592" s="25">
        <f t="shared" si="592"/>
        <v>0</v>
      </c>
      <c r="AL592" s="25">
        <f t="shared" si="593"/>
        <v>0</v>
      </c>
      <c r="AN592" s="25">
        <v>21</v>
      </c>
      <c r="AO592" s="25">
        <f>G592*0</f>
        <v>0</v>
      </c>
      <c r="AP592" s="25">
        <f>G592*(1-0)</f>
        <v>0</v>
      </c>
      <c r="AQ592" s="27" t="s">
        <v>76</v>
      </c>
      <c r="AV592" s="25">
        <f t="shared" si="594"/>
        <v>0</v>
      </c>
      <c r="AW592" s="25">
        <f t="shared" si="595"/>
        <v>0</v>
      </c>
      <c r="AX592" s="25">
        <f t="shared" si="596"/>
        <v>0</v>
      </c>
      <c r="AY592" s="27" t="s">
        <v>1782</v>
      </c>
      <c r="AZ592" s="27" t="s">
        <v>1722</v>
      </c>
      <c r="BA592" s="11" t="s">
        <v>56</v>
      </c>
      <c r="BC592" s="25">
        <f t="shared" si="597"/>
        <v>0</v>
      </c>
      <c r="BD592" s="25">
        <f t="shared" si="598"/>
        <v>0</v>
      </c>
      <c r="BE592" s="25">
        <v>0</v>
      </c>
      <c r="BF592" s="25">
        <f>592</f>
        <v>592</v>
      </c>
      <c r="BH592" s="25">
        <f t="shared" si="599"/>
        <v>0</v>
      </c>
      <c r="BI592" s="25">
        <f t="shared" si="600"/>
        <v>0</v>
      </c>
      <c r="BJ592" s="25">
        <f t="shared" si="601"/>
        <v>0</v>
      </c>
      <c r="BK592" s="27" t="s">
        <v>57</v>
      </c>
      <c r="BL592" s="25">
        <v>784</v>
      </c>
      <c r="BW592" s="25">
        <v>21</v>
      </c>
      <c r="BX592" s="5" t="s">
        <v>1785</v>
      </c>
    </row>
    <row r="593" spans="1:76" x14ac:dyDescent="0.25">
      <c r="A593" s="2" t="s">
        <v>1786</v>
      </c>
      <c r="B593" s="3" t="s">
        <v>1787</v>
      </c>
      <c r="C593" s="93" t="s">
        <v>1788</v>
      </c>
      <c r="D593" s="94"/>
      <c r="E593" s="3" t="s">
        <v>93</v>
      </c>
      <c r="F593" s="25">
        <v>1005.3339999999999</v>
      </c>
      <c r="G593" s="25">
        <v>0</v>
      </c>
      <c r="H593" s="25">
        <f t="shared" si="580"/>
        <v>0</v>
      </c>
      <c r="I593" s="25">
        <f t="shared" si="581"/>
        <v>0</v>
      </c>
      <c r="J593" s="25">
        <f t="shared" si="582"/>
        <v>0</v>
      </c>
      <c r="K593" s="26" t="s">
        <v>53</v>
      </c>
      <c r="Z593" s="25">
        <f t="shared" si="583"/>
        <v>0</v>
      </c>
      <c r="AB593" s="25">
        <f t="shared" si="584"/>
        <v>0</v>
      </c>
      <c r="AC593" s="25">
        <f t="shared" si="585"/>
        <v>0</v>
      </c>
      <c r="AD593" s="25">
        <f t="shared" si="586"/>
        <v>0</v>
      </c>
      <c r="AE593" s="25">
        <f t="shared" si="587"/>
        <v>0</v>
      </c>
      <c r="AF593" s="25">
        <f t="shared" si="588"/>
        <v>0</v>
      </c>
      <c r="AG593" s="25">
        <f t="shared" si="589"/>
        <v>0</v>
      </c>
      <c r="AH593" s="25">
        <f t="shared" si="590"/>
        <v>0</v>
      </c>
      <c r="AI593" s="11" t="s">
        <v>46</v>
      </c>
      <c r="AJ593" s="25">
        <f t="shared" si="591"/>
        <v>0</v>
      </c>
      <c r="AK593" s="25">
        <f t="shared" si="592"/>
        <v>0</v>
      </c>
      <c r="AL593" s="25">
        <f t="shared" si="593"/>
        <v>0</v>
      </c>
      <c r="AN593" s="25">
        <v>21</v>
      </c>
      <c r="AO593" s="25">
        <f>G593*0</f>
        <v>0</v>
      </c>
      <c r="AP593" s="25">
        <f>G593*(1-0)</f>
        <v>0</v>
      </c>
      <c r="AQ593" s="27" t="s">
        <v>76</v>
      </c>
      <c r="AV593" s="25">
        <f t="shared" si="594"/>
        <v>0</v>
      </c>
      <c r="AW593" s="25">
        <f t="shared" si="595"/>
        <v>0</v>
      </c>
      <c r="AX593" s="25">
        <f t="shared" si="596"/>
        <v>0</v>
      </c>
      <c r="AY593" s="27" t="s">
        <v>1782</v>
      </c>
      <c r="AZ593" s="27" t="s">
        <v>1722</v>
      </c>
      <c r="BA593" s="11" t="s">
        <v>56</v>
      </c>
      <c r="BC593" s="25">
        <f t="shared" si="597"/>
        <v>0</v>
      </c>
      <c r="BD593" s="25">
        <f t="shared" si="598"/>
        <v>0</v>
      </c>
      <c r="BE593" s="25">
        <v>0</v>
      </c>
      <c r="BF593" s="25">
        <f>593</f>
        <v>593</v>
      </c>
      <c r="BH593" s="25">
        <f t="shared" si="599"/>
        <v>0</v>
      </c>
      <c r="BI593" s="25">
        <f t="shared" si="600"/>
        <v>0</v>
      </c>
      <c r="BJ593" s="25">
        <f t="shared" si="601"/>
        <v>0</v>
      </c>
      <c r="BK593" s="27" t="s">
        <v>57</v>
      </c>
      <c r="BL593" s="25">
        <v>784</v>
      </c>
      <c r="BW593" s="25">
        <v>21</v>
      </c>
      <c r="BX593" s="5" t="s">
        <v>1788</v>
      </c>
    </row>
    <row r="594" spans="1:76" x14ac:dyDescent="0.25">
      <c r="A594" s="2" t="s">
        <v>1789</v>
      </c>
      <c r="B594" s="3" t="s">
        <v>1790</v>
      </c>
      <c r="C594" s="93" t="s">
        <v>1791</v>
      </c>
      <c r="D594" s="94"/>
      <c r="E594" s="3" t="s">
        <v>93</v>
      </c>
      <c r="F594" s="25">
        <v>626.54999999999995</v>
      </c>
      <c r="G594" s="25">
        <v>0</v>
      </c>
      <c r="H594" s="25">
        <f t="shared" si="580"/>
        <v>0</v>
      </c>
      <c r="I594" s="25">
        <f t="shared" si="581"/>
        <v>0</v>
      </c>
      <c r="J594" s="25">
        <f t="shared" si="582"/>
        <v>0</v>
      </c>
      <c r="K594" s="26" t="s">
        <v>53</v>
      </c>
      <c r="Z594" s="25">
        <f t="shared" si="583"/>
        <v>0</v>
      </c>
      <c r="AB594" s="25">
        <f t="shared" si="584"/>
        <v>0</v>
      </c>
      <c r="AC594" s="25">
        <f t="shared" si="585"/>
        <v>0</v>
      </c>
      <c r="AD594" s="25">
        <f t="shared" si="586"/>
        <v>0</v>
      </c>
      <c r="AE594" s="25">
        <f t="shared" si="587"/>
        <v>0</v>
      </c>
      <c r="AF594" s="25">
        <f t="shared" si="588"/>
        <v>0</v>
      </c>
      <c r="AG594" s="25">
        <f t="shared" si="589"/>
        <v>0</v>
      </c>
      <c r="AH594" s="25">
        <f t="shared" si="590"/>
        <v>0</v>
      </c>
      <c r="AI594" s="11" t="s">
        <v>46</v>
      </c>
      <c r="AJ594" s="25">
        <f t="shared" si="591"/>
        <v>0</v>
      </c>
      <c r="AK594" s="25">
        <f t="shared" si="592"/>
        <v>0</v>
      </c>
      <c r="AL594" s="25">
        <f t="shared" si="593"/>
        <v>0</v>
      </c>
      <c r="AN594" s="25">
        <v>21</v>
      </c>
      <c r="AO594" s="25">
        <f>G594*0.577223526</f>
        <v>0</v>
      </c>
      <c r="AP594" s="25">
        <f>G594*(1-0.577223526)</f>
        <v>0</v>
      </c>
      <c r="AQ594" s="27" t="s">
        <v>76</v>
      </c>
      <c r="AV594" s="25">
        <f t="shared" si="594"/>
        <v>0</v>
      </c>
      <c r="AW594" s="25">
        <f t="shared" si="595"/>
        <v>0</v>
      </c>
      <c r="AX594" s="25">
        <f t="shared" si="596"/>
        <v>0</v>
      </c>
      <c r="AY594" s="27" t="s">
        <v>1782</v>
      </c>
      <c r="AZ594" s="27" t="s">
        <v>1722</v>
      </c>
      <c r="BA594" s="11" t="s">
        <v>56</v>
      </c>
      <c r="BC594" s="25">
        <f t="shared" si="597"/>
        <v>0</v>
      </c>
      <c r="BD594" s="25">
        <f t="shared" si="598"/>
        <v>0</v>
      </c>
      <c r="BE594" s="25">
        <v>0</v>
      </c>
      <c r="BF594" s="25">
        <f>594</f>
        <v>594</v>
      </c>
      <c r="BH594" s="25">
        <f t="shared" si="599"/>
        <v>0</v>
      </c>
      <c r="BI594" s="25">
        <f t="shared" si="600"/>
        <v>0</v>
      </c>
      <c r="BJ594" s="25">
        <f t="shared" si="601"/>
        <v>0</v>
      </c>
      <c r="BK594" s="27" t="s">
        <v>57</v>
      </c>
      <c r="BL594" s="25">
        <v>784</v>
      </c>
      <c r="BW594" s="25">
        <v>21</v>
      </c>
      <c r="BX594" s="5" t="s">
        <v>1791</v>
      </c>
    </row>
    <row r="595" spans="1:76" x14ac:dyDescent="0.25">
      <c r="A595" s="2" t="s">
        <v>1792</v>
      </c>
      <c r="B595" s="3" t="s">
        <v>1793</v>
      </c>
      <c r="C595" s="93" t="s">
        <v>1794</v>
      </c>
      <c r="D595" s="94"/>
      <c r="E595" s="3" t="s">
        <v>93</v>
      </c>
      <c r="F595" s="25">
        <v>1005.3339999999999</v>
      </c>
      <c r="G595" s="25">
        <v>0</v>
      </c>
      <c r="H595" s="25">
        <f t="shared" si="580"/>
        <v>0</v>
      </c>
      <c r="I595" s="25">
        <f t="shared" si="581"/>
        <v>0</v>
      </c>
      <c r="J595" s="25">
        <f t="shared" si="582"/>
        <v>0</v>
      </c>
      <c r="K595" s="26" t="s">
        <v>53</v>
      </c>
      <c r="Z595" s="25">
        <f t="shared" si="583"/>
        <v>0</v>
      </c>
      <c r="AB595" s="25">
        <f t="shared" si="584"/>
        <v>0</v>
      </c>
      <c r="AC595" s="25">
        <f t="shared" si="585"/>
        <v>0</v>
      </c>
      <c r="AD595" s="25">
        <f t="shared" si="586"/>
        <v>0</v>
      </c>
      <c r="AE595" s="25">
        <f t="shared" si="587"/>
        <v>0</v>
      </c>
      <c r="AF595" s="25">
        <f t="shared" si="588"/>
        <v>0</v>
      </c>
      <c r="AG595" s="25">
        <f t="shared" si="589"/>
        <v>0</v>
      </c>
      <c r="AH595" s="25">
        <f t="shared" si="590"/>
        <v>0</v>
      </c>
      <c r="AI595" s="11" t="s">
        <v>46</v>
      </c>
      <c r="AJ595" s="25">
        <f t="shared" si="591"/>
        <v>0</v>
      </c>
      <c r="AK595" s="25">
        <f t="shared" si="592"/>
        <v>0</v>
      </c>
      <c r="AL595" s="25">
        <f t="shared" si="593"/>
        <v>0</v>
      </c>
      <c r="AN595" s="25">
        <v>21</v>
      </c>
      <c r="AO595" s="25">
        <f>G595*0.34239691</f>
        <v>0</v>
      </c>
      <c r="AP595" s="25">
        <f>G595*(1-0.34239691)</f>
        <v>0</v>
      </c>
      <c r="AQ595" s="27" t="s">
        <v>76</v>
      </c>
      <c r="AV595" s="25">
        <f t="shared" si="594"/>
        <v>0</v>
      </c>
      <c r="AW595" s="25">
        <f t="shared" si="595"/>
        <v>0</v>
      </c>
      <c r="AX595" s="25">
        <f t="shared" si="596"/>
        <v>0</v>
      </c>
      <c r="AY595" s="27" t="s">
        <v>1782</v>
      </c>
      <c r="AZ595" s="27" t="s">
        <v>1722</v>
      </c>
      <c r="BA595" s="11" t="s">
        <v>56</v>
      </c>
      <c r="BC595" s="25">
        <f t="shared" si="597"/>
        <v>0</v>
      </c>
      <c r="BD595" s="25">
        <f t="shared" si="598"/>
        <v>0</v>
      </c>
      <c r="BE595" s="25">
        <v>0</v>
      </c>
      <c r="BF595" s="25">
        <f>595</f>
        <v>595</v>
      </c>
      <c r="BH595" s="25">
        <f t="shared" si="599"/>
        <v>0</v>
      </c>
      <c r="BI595" s="25">
        <f t="shared" si="600"/>
        <v>0</v>
      </c>
      <c r="BJ595" s="25">
        <f t="shared" si="601"/>
        <v>0</v>
      </c>
      <c r="BK595" s="27" t="s">
        <v>57</v>
      </c>
      <c r="BL595" s="25">
        <v>784</v>
      </c>
      <c r="BW595" s="25">
        <v>21</v>
      </c>
      <c r="BX595" s="5" t="s">
        <v>1794</v>
      </c>
    </row>
    <row r="596" spans="1:76" x14ac:dyDescent="0.25">
      <c r="A596" s="2" t="s">
        <v>1795</v>
      </c>
      <c r="B596" s="3" t="s">
        <v>1793</v>
      </c>
      <c r="C596" s="93" t="s">
        <v>1796</v>
      </c>
      <c r="D596" s="94"/>
      <c r="E596" s="3" t="s">
        <v>93</v>
      </c>
      <c r="F596" s="25">
        <v>305.786</v>
      </c>
      <c r="G596" s="25">
        <v>0</v>
      </c>
      <c r="H596" s="25">
        <f t="shared" si="580"/>
        <v>0</v>
      </c>
      <c r="I596" s="25">
        <f t="shared" si="581"/>
        <v>0</v>
      </c>
      <c r="J596" s="25">
        <f t="shared" si="582"/>
        <v>0</v>
      </c>
      <c r="K596" s="26" t="s">
        <v>53</v>
      </c>
      <c r="Z596" s="25">
        <f t="shared" si="583"/>
        <v>0</v>
      </c>
      <c r="AB596" s="25">
        <f t="shared" si="584"/>
        <v>0</v>
      </c>
      <c r="AC596" s="25">
        <f t="shared" si="585"/>
        <v>0</v>
      </c>
      <c r="AD596" s="25">
        <f t="shared" si="586"/>
        <v>0</v>
      </c>
      <c r="AE596" s="25">
        <f t="shared" si="587"/>
        <v>0</v>
      </c>
      <c r="AF596" s="25">
        <f t="shared" si="588"/>
        <v>0</v>
      </c>
      <c r="AG596" s="25">
        <f t="shared" si="589"/>
        <v>0</v>
      </c>
      <c r="AH596" s="25">
        <f t="shared" si="590"/>
        <v>0</v>
      </c>
      <c r="AI596" s="11" t="s">
        <v>46</v>
      </c>
      <c r="AJ596" s="25">
        <f t="shared" si="591"/>
        <v>0</v>
      </c>
      <c r="AK596" s="25">
        <f t="shared" si="592"/>
        <v>0</v>
      </c>
      <c r="AL596" s="25">
        <f t="shared" si="593"/>
        <v>0</v>
      </c>
      <c r="AN596" s="25">
        <v>21</v>
      </c>
      <c r="AO596" s="25">
        <f>G596*0.342397651</f>
        <v>0</v>
      </c>
      <c r="AP596" s="25">
        <f>G596*(1-0.342397651)</f>
        <v>0</v>
      </c>
      <c r="AQ596" s="27" t="s">
        <v>76</v>
      </c>
      <c r="AV596" s="25">
        <f t="shared" si="594"/>
        <v>0</v>
      </c>
      <c r="AW596" s="25">
        <f t="shared" si="595"/>
        <v>0</v>
      </c>
      <c r="AX596" s="25">
        <f t="shared" si="596"/>
        <v>0</v>
      </c>
      <c r="AY596" s="27" t="s">
        <v>1782</v>
      </c>
      <c r="AZ596" s="27" t="s">
        <v>1722</v>
      </c>
      <c r="BA596" s="11" t="s">
        <v>56</v>
      </c>
      <c r="BC596" s="25">
        <f t="shared" si="597"/>
        <v>0</v>
      </c>
      <c r="BD596" s="25">
        <f t="shared" si="598"/>
        <v>0</v>
      </c>
      <c r="BE596" s="25">
        <v>0</v>
      </c>
      <c r="BF596" s="25">
        <f>596</f>
        <v>596</v>
      </c>
      <c r="BH596" s="25">
        <f t="shared" si="599"/>
        <v>0</v>
      </c>
      <c r="BI596" s="25">
        <f t="shared" si="600"/>
        <v>0</v>
      </c>
      <c r="BJ596" s="25">
        <f t="shared" si="601"/>
        <v>0</v>
      </c>
      <c r="BK596" s="27" t="s">
        <v>57</v>
      </c>
      <c r="BL596" s="25">
        <v>784</v>
      </c>
      <c r="BW596" s="25">
        <v>21</v>
      </c>
      <c r="BX596" s="5" t="s">
        <v>1796</v>
      </c>
    </row>
    <row r="597" spans="1:76" x14ac:dyDescent="0.25">
      <c r="A597" s="2" t="s">
        <v>1797</v>
      </c>
      <c r="B597" s="3" t="s">
        <v>1793</v>
      </c>
      <c r="C597" s="93" t="s">
        <v>1798</v>
      </c>
      <c r="D597" s="94"/>
      <c r="E597" s="3" t="s">
        <v>93</v>
      </c>
      <c r="F597" s="25">
        <v>609.66</v>
      </c>
      <c r="G597" s="25">
        <v>0</v>
      </c>
      <c r="H597" s="25">
        <f t="shared" si="580"/>
        <v>0</v>
      </c>
      <c r="I597" s="25">
        <f t="shared" si="581"/>
        <v>0</v>
      </c>
      <c r="J597" s="25">
        <f t="shared" si="582"/>
        <v>0</v>
      </c>
      <c r="K597" s="26" t="s">
        <v>53</v>
      </c>
      <c r="Z597" s="25">
        <f t="shared" si="583"/>
        <v>0</v>
      </c>
      <c r="AB597" s="25">
        <f t="shared" si="584"/>
        <v>0</v>
      </c>
      <c r="AC597" s="25">
        <f t="shared" si="585"/>
        <v>0</v>
      </c>
      <c r="AD597" s="25">
        <f t="shared" si="586"/>
        <v>0</v>
      </c>
      <c r="AE597" s="25">
        <f t="shared" si="587"/>
        <v>0</v>
      </c>
      <c r="AF597" s="25">
        <f t="shared" si="588"/>
        <v>0</v>
      </c>
      <c r="AG597" s="25">
        <f t="shared" si="589"/>
        <v>0</v>
      </c>
      <c r="AH597" s="25">
        <f t="shared" si="590"/>
        <v>0</v>
      </c>
      <c r="AI597" s="11" t="s">
        <v>46</v>
      </c>
      <c r="AJ597" s="25">
        <f t="shared" si="591"/>
        <v>0</v>
      </c>
      <c r="AK597" s="25">
        <f t="shared" si="592"/>
        <v>0</v>
      </c>
      <c r="AL597" s="25">
        <f t="shared" si="593"/>
        <v>0</v>
      </c>
      <c r="AN597" s="25">
        <v>21</v>
      </c>
      <c r="AO597" s="25">
        <f>G597*0.342397007</f>
        <v>0</v>
      </c>
      <c r="AP597" s="25">
        <f>G597*(1-0.342397007)</f>
        <v>0</v>
      </c>
      <c r="AQ597" s="27" t="s">
        <v>76</v>
      </c>
      <c r="AV597" s="25">
        <f t="shared" si="594"/>
        <v>0</v>
      </c>
      <c r="AW597" s="25">
        <f t="shared" si="595"/>
        <v>0</v>
      </c>
      <c r="AX597" s="25">
        <f t="shared" si="596"/>
        <v>0</v>
      </c>
      <c r="AY597" s="27" t="s">
        <v>1782</v>
      </c>
      <c r="AZ597" s="27" t="s">
        <v>1722</v>
      </c>
      <c r="BA597" s="11" t="s">
        <v>56</v>
      </c>
      <c r="BC597" s="25">
        <f t="shared" si="597"/>
        <v>0</v>
      </c>
      <c r="BD597" s="25">
        <f t="shared" si="598"/>
        <v>0</v>
      </c>
      <c r="BE597" s="25">
        <v>0</v>
      </c>
      <c r="BF597" s="25">
        <f>597</f>
        <v>597</v>
      </c>
      <c r="BH597" s="25">
        <f t="shared" si="599"/>
        <v>0</v>
      </c>
      <c r="BI597" s="25">
        <f t="shared" si="600"/>
        <v>0</v>
      </c>
      <c r="BJ597" s="25">
        <f t="shared" si="601"/>
        <v>0</v>
      </c>
      <c r="BK597" s="27" t="s">
        <v>57</v>
      </c>
      <c r="BL597" s="25">
        <v>784</v>
      </c>
      <c r="BW597" s="25">
        <v>21</v>
      </c>
      <c r="BX597" s="5" t="s">
        <v>1798</v>
      </c>
    </row>
    <row r="598" spans="1:76" x14ac:dyDescent="0.25">
      <c r="A598" s="2" t="s">
        <v>1799</v>
      </c>
      <c r="B598" s="3" t="s">
        <v>1800</v>
      </c>
      <c r="C598" s="93" t="s">
        <v>1801</v>
      </c>
      <c r="D598" s="94"/>
      <c r="E598" s="3" t="s">
        <v>93</v>
      </c>
      <c r="F598" s="25">
        <v>1005.3339999999999</v>
      </c>
      <c r="G598" s="25">
        <v>0</v>
      </c>
      <c r="H598" s="25">
        <f t="shared" si="580"/>
        <v>0</v>
      </c>
      <c r="I598" s="25">
        <f t="shared" si="581"/>
        <v>0</v>
      </c>
      <c r="J598" s="25">
        <f t="shared" si="582"/>
        <v>0</v>
      </c>
      <c r="K598" s="26" t="s">
        <v>53</v>
      </c>
      <c r="Z598" s="25">
        <f t="shared" si="583"/>
        <v>0</v>
      </c>
      <c r="AB598" s="25">
        <f t="shared" si="584"/>
        <v>0</v>
      </c>
      <c r="AC598" s="25">
        <f t="shared" si="585"/>
        <v>0</v>
      </c>
      <c r="AD598" s="25">
        <f t="shared" si="586"/>
        <v>0</v>
      </c>
      <c r="AE598" s="25">
        <f t="shared" si="587"/>
        <v>0</v>
      </c>
      <c r="AF598" s="25">
        <f t="shared" si="588"/>
        <v>0</v>
      </c>
      <c r="AG598" s="25">
        <f t="shared" si="589"/>
        <v>0</v>
      </c>
      <c r="AH598" s="25">
        <f t="shared" si="590"/>
        <v>0</v>
      </c>
      <c r="AI598" s="11" t="s">
        <v>46</v>
      </c>
      <c r="AJ598" s="25">
        <f t="shared" si="591"/>
        <v>0</v>
      </c>
      <c r="AK598" s="25">
        <f t="shared" si="592"/>
        <v>0</v>
      </c>
      <c r="AL598" s="25">
        <f t="shared" si="593"/>
        <v>0</v>
      </c>
      <c r="AN598" s="25">
        <v>21</v>
      </c>
      <c r="AO598" s="25">
        <f>G598*0.311893008</f>
        <v>0</v>
      </c>
      <c r="AP598" s="25">
        <f>G598*(1-0.311893008)</f>
        <v>0</v>
      </c>
      <c r="AQ598" s="27" t="s">
        <v>76</v>
      </c>
      <c r="AV598" s="25">
        <f t="shared" si="594"/>
        <v>0</v>
      </c>
      <c r="AW598" s="25">
        <f t="shared" si="595"/>
        <v>0</v>
      </c>
      <c r="AX598" s="25">
        <f t="shared" si="596"/>
        <v>0</v>
      </c>
      <c r="AY598" s="27" t="s">
        <v>1782</v>
      </c>
      <c r="AZ598" s="27" t="s">
        <v>1722</v>
      </c>
      <c r="BA598" s="11" t="s">
        <v>56</v>
      </c>
      <c r="BC598" s="25">
        <f t="shared" si="597"/>
        <v>0</v>
      </c>
      <c r="BD598" s="25">
        <f t="shared" si="598"/>
        <v>0</v>
      </c>
      <c r="BE598" s="25">
        <v>0</v>
      </c>
      <c r="BF598" s="25">
        <f>598</f>
        <v>598</v>
      </c>
      <c r="BH598" s="25">
        <f t="shared" si="599"/>
        <v>0</v>
      </c>
      <c r="BI598" s="25">
        <f t="shared" si="600"/>
        <v>0</v>
      </c>
      <c r="BJ598" s="25">
        <f t="shared" si="601"/>
        <v>0</v>
      </c>
      <c r="BK598" s="27" t="s">
        <v>57</v>
      </c>
      <c r="BL598" s="25">
        <v>784</v>
      </c>
      <c r="BW598" s="25">
        <v>21</v>
      </c>
      <c r="BX598" s="5" t="s">
        <v>1801</v>
      </c>
    </row>
    <row r="599" spans="1:76" x14ac:dyDescent="0.25">
      <c r="A599" s="2" t="s">
        <v>1802</v>
      </c>
      <c r="B599" s="3" t="s">
        <v>1800</v>
      </c>
      <c r="C599" s="93" t="s">
        <v>1803</v>
      </c>
      <c r="D599" s="94"/>
      <c r="E599" s="3" t="s">
        <v>93</v>
      </c>
      <c r="F599" s="25">
        <v>305.786</v>
      </c>
      <c r="G599" s="25">
        <v>0</v>
      </c>
      <c r="H599" s="25">
        <f t="shared" si="580"/>
        <v>0</v>
      </c>
      <c r="I599" s="25">
        <f t="shared" si="581"/>
        <v>0</v>
      </c>
      <c r="J599" s="25">
        <f t="shared" si="582"/>
        <v>0</v>
      </c>
      <c r="K599" s="26" t="s">
        <v>53</v>
      </c>
      <c r="Z599" s="25">
        <f t="shared" si="583"/>
        <v>0</v>
      </c>
      <c r="AB599" s="25">
        <f t="shared" si="584"/>
        <v>0</v>
      </c>
      <c r="AC599" s="25">
        <f t="shared" si="585"/>
        <v>0</v>
      </c>
      <c r="AD599" s="25">
        <f t="shared" si="586"/>
        <v>0</v>
      </c>
      <c r="AE599" s="25">
        <f t="shared" si="587"/>
        <v>0</v>
      </c>
      <c r="AF599" s="25">
        <f t="shared" si="588"/>
        <v>0</v>
      </c>
      <c r="AG599" s="25">
        <f t="shared" si="589"/>
        <v>0</v>
      </c>
      <c r="AH599" s="25">
        <f t="shared" si="590"/>
        <v>0</v>
      </c>
      <c r="AI599" s="11" t="s">
        <v>46</v>
      </c>
      <c r="AJ599" s="25">
        <f t="shared" si="591"/>
        <v>0</v>
      </c>
      <c r="AK599" s="25">
        <f t="shared" si="592"/>
        <v>0</v>
      </c>
      <c r="AL599" s="25">
        <f t="shared" si="593"/>
        <v>0</v>
      </c>
      <c r="AN599" s="25">
        <v>21</v>
      </c>
      <c r="AO599" s="25">
        <f>G599*0.311893173</f>
        <v>0</v>
      </c>
      <c r="AP599" s="25">
        <f>G599*(1-0.311893173)</f>
        <v>0</v>
      </c>
      <c r="AQ599" s="27" t="s">
        <v>76</v>
      </c>
      <c r="AV599" s="25">
        <f t="shared" si="594"/>
        <v>0</v>
      </c>
      <c r="AW599" s="25">
        <f t="shared" si="595"/>
        <v>0</v>
      </c>
      <c r="AX599" s="25">
        <f t="shared" si="596"/>
        <v>0</v>
      </c>
      <c r="AY599" s="27" t="s">
        <v>1782</v>
      </c>
      <c r="AZ599" s="27" t="s">
        <v>1722</v>
      </c>
      <c r="BA599" s="11" t="s">
        <v>56</v>
      </c>
      <c r="BC599" s="25">
        <f t="shared" si="597"/>
        <v>0</v>
      </c>
      <c r="BD599" s="25">
        <f t="shared" si="598"/>
        <v>0</v>
      </c>
      <c r="BE599" s="25">
        <v>0</v>
      </c>
      <c r="BF599" s="25">
        <f>599</f>
        <v>599</v>
      </c>
      <c r="BH599" s="25">
        <f t="shared" si="599"/>
        <v>0</v>
      </c>
      <c r="BI599" s="25">
        <f t="shared" si="600"/>
        <v>0</v>
      </c>
      <c r="BJ599" s="25">
        <f t="shared" si="601"/>
        <v>0</v>
      </c>
      <c r="BK599" s="27" t="s">
        <v>57</v>
      </c>
      <c r="BL599" s="25">
        <v>784</v>
      </c>
      <c r="BW599" s="25">
        <v>21</v>
      </c>
      <c r="BX599" s="5" t="s">
        <v>1803</v>
      </c>
    </row>
    <row r="600" spans="1:76" x14ac:dyDescent="0.25">
      <c r="A600" s="2" t="s">
        <v>1804</v>
      </c>
      <c r="B600" s="3" t="s">
        <v>1800</v>
      </c>
      <c r="C600" s="93" t="s">
        <v>1805</v>
      </c>
      <c r="D600" s="94"/>
      <c r="E600" s="3" t="s">
        <v>93</v>
      </c>
      <c r="F600" s="25">
        <v>609.66</v>
      </c>
      <c r="G600" s="25">
        <v>0</v>
      </c>
      <c r="H600" s="25">
        <f t="shared" si="580"/>
        <v>0</v>
      </c>
      <c r="I600" s="25">
        <f t="shared" si="581"/>
        <v>0</v>
      </c>
      <c r="J600" s="25">
        <f t="shared" si="582"/>
        <v>0</v>
      </c>
      <c r="K600" s="26" t="s">
        <v>53</v>
      </c>
      <c r="Z600" s="25">
        <f t="shared" si="583"/>
        <v>0</v>
      </c>
      <c r="AB600" s="25">
        <f t="shared" si="584"/>
        <v>0</v>
      </c>
      <c r="AC600" s="25">
        <f t="shared" si="585"/>
        <v>0</v>
      </c>
      <c r="AD600" s="25">
        <f t="shared" si="586"/>
        <v>0</v>
      </c>
      <c r="AE600" s="25">
        <f t="shared" si="587"/>
        <v>0</v>
      </c>
      <c r="AF600" s="25">
        <f t="shared" si="588"/>
        <v>0</v>
      </c>
      <c r="AG600" s="25">
        <f t="shared" si="589"/>
        <v>0</v>
      </c>
      <c r="AH600" s="25">
        <f t="shared" si="590"/>
        <v>0</v>
      </c>
      <c r="AI600" s="11" t="s">
        <v>46</v>
      </c>
      <c r="AJ600" s="25">
        <f t="shared" si="591"/>
        <v>0</v>
      </c>
      <c r="AK600" s="25">
        <f t="shared" si="592"/>
        <v>0</v>
      </c>
      <c r="AL600" s="25">
        <f t="shared" si="593"/>
        <v>0</v>
      </c>
      <c r="AN600" s="25">
        <v>21</v>
      </c>
      <c r="AO600" s="25">
        <f>G600*0.311893261</f>
        <v>0</v>
      </c>
      <c r="AP600" s="25">
        <f>G600*(1-0.311893261)</f>
        <v>0</v>
      </c>
      <c r="AQ600" s="27" t="s">
        <v>76</v>
      </c>
      <c r="AV600" s="25">
        <f t="shared" si="594"/>
        <v>0</v>
      </c>
      <c r="AW600" s="25">
        <f t="shared" si="595"/>
        <v>0</v>
      </c>
      <c r="AX600" s="25">
        <f t="shared" si="596"/>
        <v>0</v>
      </c>
      <c r="AY600" s="27" t="s">
        <v>1782</v>
      </c>
      <c r="AZ600" s="27" t="s">
        <v>1722</v>
      </c>
      <c r="BA600" s="11" t="s">
        <v>56</v>
      </c>
      <c r="BC600" s="25">
        <f t="shared" si="597"/>
        <v>0</v>
      </c>
      <c r="BD600" s="25">
        <f t="shared" si="598"/>
        <v>0</v>
      </c>
      <c r="BE600" s="25">
        <v>0</v>
      </c>
      <c r="BF600" s="25">
        <f>600</f>
        <v>600</v>
      </c>
      <c r="BH600" s="25">
        <f t="shared" si="599"/>
        <v>0</v>
      </c>
      <c r="BI600" s="25">
        <f t="shared" si="600"/>
        <v>0</v>
      </c>
      <c r="BJ600" s="25">
        <f t="shared" si="601"/>
        <v>0</v>
      </c>
      <c r="BK600" s="27" t="s">
        <v>57</v>
      </c>
      <c r="BL600" s="25">
        <v>784</v>
      </c>
      <c r="BW600" s="25">
        <v>21</v>
      </c>
      <c r="BX600" s="5" t="s">
        <v>1805</v>
      </c>
    </row>
    <row r="601" spans="1:76" x14ac:dyDescent="0.25">
      <c r="A601" s="2" t="s">
        <v>1806</v>
      </c>
      <c r="B601" s="3" t="s">
        <v>1807</v>
      </c>
      <c r="C601" s="93" t="s">
        <v>1808</v>
      </c>
      <c r="D601" s="94"/>
      <c r="E601" s="3" t="s">
        <v>93</v>
      </c>
      <c r="F601" s="25">
        <v>1005.3339999999999</v>
      </c>
      <c r="G601" s="25">
        <v>0</v>
      </c>
      <c r="H601" s="25">
        <f t="shared" si="580"/>
        <v>0</v>
      </c>
      <c r="I601" s="25">
        <f t="shared" si="581"/>
        <v>0</v>
      </c>
      <c r="J601" s="25">
        <f t="shared" si="582"/>
        <v>0</v>
      </c>
      <c r="K601" s="26" t="s">
        <v>53</v>
      </c>
      <c r="Z601" s="25">
        <f t="shared" si="583"/>
        <v>0</v>
      </c>
      <c r="AB601" s="25">
        <f t="shared" si="584"/>
        <v>0</v>
      </c>
      <c r="AC601" s="25">
        <f t="shared" si="585"/>
        <v>0</v>
      </c>
      <c r="AD601" s="25">
        <f t="shared" si="586"/>
        <v>0</v>
      </c>
      <c r="AE601" s="25">
        <f t="shared" si="587"/>
        <v>0</v>
      </c>
      <c r="AF601" s="25">
        <f t="shared" si="588"/>
        <v>0</v>
      </c>
      <c r="AG601" s="25">
        <f t="shared" si="589"/>
        <v>0</v>
      </c>
      <c r="AH601" s="25">
        <f t="shared" si="590"/>
        <v>0</v>
      </c>
      <c r="AI601" s="11" t="s">
        <v>46</v>
      </c>
      <c r="AJ601" s="25">
        <f t="shared" si="591"/>
        <v>0</v>
      </c>
      <c r="AK601" s="25">
        <f t="shared" si="592"/>
        <v>0</v>
      </c>
      <c r="AL601" s="25">
        <f t="shared" si="593"/>
        <v>0</v>
      </c>
      <c r="AN601" s="25">
        <v>21</v>
      </c>
      <c r="AO601" s="25">
        <f>G601*0.204495638</f>
        <v>0</v>
      </c>
      <c r="AP601" s="25">
        <f>G601*(1-0.204495638)</f>
        <v>0</v>
      </c>
      <c r="AQ601" s="27" t="s">
        <v>76</v>
      </c>
      <c r="AV601" s="25">
        <f t="shared" si="594"/>
        <v>0</v>
      </c>
      <c r="AW601" s="25">
        <f t="shared" si="595"/>
        <v>0</v>
      </c>
      <c r="AX601" s="25">
        <f t="shared" si="596"/>
        <v>0</v>
      </c>
      <c r="AY601" s="27" t="s">
        <v>1782</v>
      </c>
      <c r="AZ601" s="27" t="s">
        <v>1722</v>
      </c>
      <c r="BA601" s="11" t="s">
        <v>56</v>
      </c>
      <c r="BC601" s="25">
        <f t="shared" si="597"/>
        <v>0</v>
      </c>
      <c r="BD601" s="25">
        <f t="shared" si="598"/>
        <v>0</v>
      </c>
      <c r="BE601" s="25">
        <v>0</v>
      </c>
      <c r="BF601" s="25">
        <f>601</f>
        <v>601</v>
      </c>
      <c r="BH601" s="25">
        <f t="shared" si="599"/>
        <v>0</v>
      </c>
      <c r="BI601" s="25">
        <f t="shared" si="600"/>
        <v>0</v>
      </c>
      <c r="BJ601" s="25">
        <f t="shared" si="601"/>
        <v>0</v>
      </c>
      <c r="BK601" s="27" t="s">
        <v>57</v>
      </c>
      <c r="BL601" s="25">
        <v>784</v>
      </c>
      <c r="BW601" s="25">
        <v>21</v>
      </c>
      <c r="BX601" s="5" t="s">
        <v>1808</v>
      </c>
    </row>
    <row r="602" spans="1:76" x14ac:dyDescent="0.25">
      <c r="A602" s="28" t="s">
        <v>46</v>
      </c>
      <c r="B602" s="29" t="s">
        <v>1809</v>
      </c>
      <c r="C602" s="150" t="s">
        <v>1810</v>
      </c>
      <c r="D602" s="151"/>
      <c r="E602" s="30" t="s">
        <v>4</v>
      </c>
      <c r="F602" s="30" t="s">
        <v>4</v>
      </c>
      <c r="G602" s="30" t="s">
        <v>4</v>
      </c>
      <c r="H602" s="1">
        <f>ROUND(SUM(H603:H608),1)</f>
        <v>0</v>
      </c>
      <c r="I602" s="1">
        <f>ROUND(SUM(I603:I608),1)</f>
        <v>0</v>
      </c>
      <c r="J602" s="1">
        <f>ROUND(SUM(J603:J608),1)</f>
        <v>0</v>
      </c>
      <c r="K602" s="31" t="s">
        <v>46</v>
      </c>
      <c r="AI602" s="11" t="s">
        <v>46</v>
      </c>
      <c r="AS602" s="1">
        <f>SUM(AJ603:AJ608)</f>
        <v>0</v>
      </c>
      <c r="AT602" s="1">
        <f>SUM(AK603:AK608)</f>
        <v>0</v>
      </c>
      <c r="AU602" s="1">
        <f>SUM(AL603:AL608)</f>
        <v>0</v>
      </c>
    </row>
    <row r="603" spans="1:76" x14ac:dyDescent="0.25">
      <c r="A603" s="2" t="s">
        <v>1811</v>
      </c>
      <c r="B603" s="3" t="s">
        <v>1812</v>
      </c>
      <c r="C603" s="93" t="s">
        <v>1813</v>
      </c>
      <c r="D603" s="94"/>
      <c r="E603" s="3" t="s">
        <v>93</v>
      </c>
      <c r="F603" s="25">
        <v>31.754999999999999</v>
      </c>
      <c r="G603" s="25">
        <v>0</v>
      </c>
      <c r="H603" s="25">
        <f t="shared" ref="H603:H608" si="602">ROUND(F603*AO603,2)</f>
        <v>0</v>
      </c>
      <c r="I603" s="25">
        <f t="shared" ref="I603:I608" si="603">ROUND(F603*AP603,2)</f>
        <v>0</v>
      </c>
      <c r="J603" s="25">
        <f t="shared" ref="J603:J608" si="604">ROUND(F603*G603,1)</f>
        <v>0</v>
      </c>
      <c r="K603" s="26" t="s">
        <v>53</v>
      </c>
      <c r="Z603" s="25">
        <f t="shared" ref="Z603:Z608" si="605">ROUND(IF(AQ603="5",BJ603,0),2)</f>
        <v>0</v>
      </c>
      <c r="AB603" s="25">
        <f t="shared" ref="AB603:AB608" si="606">ROUND(IF(AQ603="1",BH603,0),2)</f>
        <v>0</v>
      </c>
      <c r="AC603" s="25">
        <f t="shared" ref="AC603:AC608" si="607">ROUND(IF(AQ603="1",BI603,0),2)</f>
        <v>0</v>
      </c>
      <c r="AD603" s="25">
        <f t="shared" ref="AD603:AD608" si="608">ROUND(IF(AQ603="7",BH603,0),2)</f>
        <v>0</v>
      </c>
      <c r="AE603" s="25">
        <f t="shared" ref="AE603:AE608" si="609">ROUND(IF(AQ603="7",BI603,0),2)</f>
        <v>0</v>
      </c>
      <c r="AF603" s="25">
        <f t="shared" ref="AF603:AF608" si="610">ROUND(IF(AQ603="2",BH603,0),2)</f>
        <v>0</v>
      </c>
      <c r="AG603" s="25">
        <f t="shared" ref="AG603:AG608" si="611">ROUND(IF(AQ603="2",BI603,0),2)</f>
        <v>0</v>
      </c>
      <c r="AH603" s="25">
        <f t="shared" ref="AH603:AH608" si="612">ROUND(IF(AQ603="0",BJ603,0),2)</f>
        <v>0</v>
      </c>
      <c r="AI603" s="11" t="s">
        <v>46</v>
      </c>
      <c r="AJ603" s="25">
        <f t="shared" ref="AJ603:AJ608" si="613">IF(AN603=0,J603,0)</f>
        <v>0</v>
      </c>
      <c r="AK603" s="25">
        <f t="shared" ref="AK603:AK608" si="614">IF(AN603=12,J603,0)</f>
        <v>0</v>
      </c>
      <c r="AL603" s="25">
        <f t="shared" ref="AL603:AL608" si="615">IF(AN603=21,J603,0)</f>
        <v>0</v>
      </c>
      <c r="AN603" s="25">
        <v>21</v>
      </c>
      <c r="AO603" s="25">
        <f>G603*0</f>
        <v>0</v>
      </c>
      <c r="AP603" s="25">
        <f>G603*(1-0)</f>
        <v>0</v>
      </c>
      <c r="AQ603" s="27" t="s">
        <v>76</v>
      </c>
      <c r="AV603" s="25">
        <f t="shared" ref="AV603:AV608" si="616">ROUND(AW603+AX603,2)</f>
        <v>0</v>
      </c>
      <c r="AW603" s="25">
        <f t="shared" ref="AW603:AW608" si="617">ROUND(F603*AO603,2)</f>
        <v>0</v>
      </c>
      <c r="AX603" s="25">
        <f t="shared" ref="AX603:AX608" si="618">ROUND(F603*AP603,2)</f>
        <v>0</v>
      </c>
      <c r="AY603" s="27" t="s">
        <v>1814</v>
      </c>
      <c r="AZ603" s="27" t="s">
        <v>1722</v>
      </c>
      <c r="BA603" s="11" t="s">
        <v>56</v>
      </c>
      <c r="BC603" s="25">
        <f t="shared" ref="BC603:BC608" si="619">AW603+AX603</f>
        <v>0</v>
      </c>
      <c r="BD603" s="25">
        <f t="shared" ref="BD603:BD608" si="620">G603/(100-BE603)*100</f>
        <v>0</v>
      </c>
      <c r="BE603" s="25">
        <v>0</v>
      </c>
      <c r="BF603" s="25">
        <f>603</f>
        <v>603</v>
      </c>
      <c r="BH603" s="25">
        <f t="shared" ref="BH603:BH608" si="621">F603*AO603</f>
        <v>0</v>
      </c>
      <c r="BI603" s="25">
        <f t="shared" ref="BI603:BI608" si="622">F603*AP603</f>
        <v>0</v>
      </c>
      <c r="BJ603" s="25">
        <f t="shared" ref="BJ603:BJ608" si="623">F603*G603</f>
        <v>0</v>
      </c>
      <c r="BK603" s="27" t="s">
        <v>57</v>
      </c>
      <c r="BL603" s="25">
        <v>786</v>
      </c>
      <c r="BW603" s="25">
        <v>21</v>
      </c>
      <c r="BX603" s="5" t="s">
        <v>1813</v>
      </c>
    </row>
    <row r="604" spans="1:76" x14ac:dyDescent="0.25">
      <c r="A604" s="2" t="s">
        <v>1815</v>
      </c>
      <c r="B604" s="3" t="s">
        <v>1816</v>
      </c>
      <c r="C604" s="93" t="s">
        <v>1817</v>
      </c>
      <c r="D604" s="94"/>
      <c r="E604" s="3" t="s">
        <v>93</v>
      </c>
      <c r="F604" s="25">
        <v>20.64</v>
      </c>
      <c r="G604" s="25">
        <v>0</v>
      </c>
      <c r="H604" s="25">
        <f t="shared" si="602"/>
        <v>0</v>
      </c>
      <c r="I604" s="25">
        <f t="shared" si="603"/>
        <v>0</v>
      </c>
      <c r="J604" s="25">
        <f t="shared" si="604"/>
        <v>0</v>
      </c>
      <c r="K604" s="26" t="s">
        <v>53</v>
      </c>
      <c r="Z604" s="25">
        <f t="shared" si="605"/>
        <v>0</v>
      </c>
      <c r="AB604" s="25">
        <f t="shared" si="606"/>
        <v>0</v>
      </c>
      <c r="AC604" s="25">
        <f t="shared" si="607"/>
        <v>0</v>
      </c>
      <c r="AD604" s="25">
        <f t="shared" si="608"/>
        <v>0</v>
      </c>
      <c r="AE604" s="25">
        <f t="shared" si="609"/>
        <v>0</v>
      </c>
      <c r="AF604" s="25">
        <f t="shared" si="610"/>
        <v>0</v>
      </c>
      <c r="AG604" s="25">
        <f t="shared" si="611"/>
        <v>0</v>
      </c>
      <c r="AH604" s="25">
        <f t="shared" si="612"/>
        <v>0</v>
      </c>
      <c r="AI604" s="11" t="s">
        <v>46</v>
      </c>
      <c r="AJ604" s="25">
        <f t="shared" si="613"/>
        <v>0</v>
      </c>
      <c r="AK604" s="25">
        <f t="shared" si="614"/>
        <v>0</v>
      </c>
      <c r="AL604" s="25">
        <f t="shared" si="615"/>
        <v>0</v>
      </c>
      <c r="AN604" s="25">
        <v>21</v>
      </c>
      <c r="AO604" s="25">
        <f>G604*1</f>
        <v>0</v>
      </c>
      <c r="AP604" s="25">
        <f>G604*(1-1)</f>
        <v>0</v>
      </c>
      <c r="AQ604" s="27" t="s">
        <v>76</v>
      </c>
      <c r="AV604" s="25">
        <f t="shared" si="616"/>
        <v>0</v>
      </c>
      <c r="AW604" s="25">
        <f t="shared" si="617"/>
        <v>0</v>
      </c>
      <c r="AX604" s="25">
        <f t="shared" si="618"/>
        <v>0</v>
      </c>
      <c r="AY604" s="27" t="s">
        <v>1814</v>
      </c>
      <c r="AZ604" s="27" t="s">
        <v>1722</v>
      </c>
      <c r="BA604" s="11" t="s">
        <v>56</v>
      </c>
      <c r="BC604" s="25">
        <f t="shared" si="619"/>
        <v>0</v>
      </c>
      <c r="BD604" s="25">
        <f t="shared" si="620"/>
        <v>0</v>
      </c>
      <c r="BE604" s="25">
        <v>0</v>
      </c>
      <c r="BF604" s="25">
        <f>604</f>
        <v>604</v>
      </c>
      <c r="BH604" s="25">
        <f t="shared" si="621"/>
        <v>0</v>
      </c>
      <c r="BI604" s="25">
        <f t="shared" si="622"/>
        <v>0</v>
      </c>
      <c r="BJ604" s="25">
        <f t="shared" si="623"/>
        <v>0</v>
      </c>
      <c r="BK604" s="27" t="s">
        <v>75</v>
      </c>
      <c r="BL604" s="25">
        <v>786</v>
      </c>
      <c r="BW604" s="25">
        <v>21</v>
      </c>
      <c r="BX604" s="5" t="s">
        <v>1817</v>
      </c>
    </row>
    <row r="605" spans="1:76" x14ac:dyDescent="0.25">
      <c r="A605" s="2" t="s">
        <v>1818</v>
      </c>
      <c r="B605" s="3" t="s">
        <v>1819</v>
      </c>
      <c r="C605" s="93" t="s">
        <v>1820</v>
      </c>
      <c r="D605" s="94"/>
      <c r="E605" s="3" t="s">
        <v>93</v>
      </c>
      <c r="F605" s="25">
        <v>2.4750000000000001</v>
      </c>
      <c r="G605" s="25">
        <v>0</v>
      </c>
      <c r="H605" s="25">
        <f t="shared" si="602"/>
        <v>0</v>
      </c>
      <c r="I605" s="25">
        <f t="shared" si="603"/>
        <v>0</v>
      </c>
      <c r="J605" s="25">
        <f t="shared" si="604"/>
        <v>0</v>
      </c>
      <c r="K605" s="26" t="s">
        <v>53</v>
      </c>
      <c r="Z605" s="25">
        <f t="shared" si="605"/>
        <v>0</v>
      </c>
      <c r="AB605" s="25">
        <f t="shared" si="606"/>
        <v>0</v>
      </c>
      <c r="AC605" s="25">
        <f t="shared" si="607"/>
        <v>0</v>
      </c>
      <c r="AD605" s="25">
        <f t="shared" si="608"/>
        <v>0</v>
      </c>
      <c r="AE605" s="25">
        <f t="shared" si="609"/>
        <v>0</v>
      </c>
      <c r="AF605" s="25">
        <f t="shared" si="610"/>
        <v>0</v>
      </c>
      <c r="AG605" s="25">
        <f t="shared" si="611"/>
        <v>0</v>
      </c>
      <c r="AH605" s="25">
        <f t="shared" si="612"/>
        <v>0</v>
      </c>
      <c r="AI605" s="11" t="s">
        <v>46</v>
      </c>
      <c r="AJ605" s="25">
        <f t="shared" si="613"/>
        <v>0</v>
      </c>
      <c r="AK605" s="25">
        <f t="shared" si="614"/>
        <v>0</v>
      </c>
      <c r="AL605" s="25">
        <f t="shared" si="615"/>
        <v>0</v>
      </c>
      <c r="AN605" s="25">
        <v>21</v>
      </c>
      <c r="AO605" s="25">
        <f>G605*1</f>
        <v>0</v>
      </c>
      <c r="AP605" s="25">
        <f>G605*(1-1)</f>
        <v>0</v>
      </c>
      <c r="AQ605" s="27" t="s">
        <v>76</v>
      </c>
      <c r="AV605" s="25">
        <f t="shared" si="616"/>
        <v>0</v>
      </c>
      <c r="AW605" s="25">
        <f t="shared" si="617"/>
        <v>0</v>
      </c>
      <c r="AX605" s="25">
        <f t="shared" si="618"/>
        <v>0</v>
      </c>
      <c r="AY605" s="27" t="s">
        <v>1814</v>
      </c>
      <c r="AZ605" s="27" t="s">
        <v>1722</v>
      </c>
      <c r="BA605" s="11" t="s">
        <v>56</v>
      </c>
      <c r="BC605" s="25">
        <f t="shared" si="619"/>
        <v>0</v>
      </c>
      <c r="BD605" s="25">
        <f t="shared" si="620"/>
        <v>0</v>
      </c>
      <c r="BE605" s="25">
        <v>0</v>
      </c>
      <c r="BF605" s="25">
        <f>605</f>
        <v>605</v>
      </c>
      <c r="BH605" s="25">
        <f t="shared" si="621"/>
        <v>0</v>
      </c>
      <c r="BI605" s="25">
        <f t="shared" si="622"/>
        <v>0</v>
      </c>
      <c r="BJ605" s="25">
        <f t="shared" si="623"/>
        <v>0</v>
      </c>
      <c r="BK605" s="27" t="s">
        <v>75</v>
      </c>
      <c r="BL605" s="25">
        <v>786</v>
      </c>
      <c r="BW605" s="25">
        <v>21</v>
      </c>
      <c r="BX605" s="5" t="s">
        <v>1820</v>
      </c>
    </row>
    <row r="606" spans="1:76" x14ac:dyDescent="0.25">
      <c r="A606" s="2" t="s">
        <v>1821</v>
      </c>
      <c r="B606" s="3" t="s">
        <v>1822</v>
      </c>
      <c r="C606" s="93" t="s">
        <v>1823</v>
      </c>
      <c r="D606" s="94"/>
      <c r="E606" s="3" t="s">
        <v>93</v>
      </c>
      <c r="F606" s="25">
        <v>8.64</v>
      </c>
      <c r="G606" s="25">
        <v>0</v>
      </c>
      <c r="H606" s="25">
        <f t="shared" si="602"/>
        <v>0</v>
      </c>
      <c r="I606" s="25">
        <f t="shared" si="603"/>
        <v>0</v>
      </c>
      <c r="J606" s="25">
        <f t="shared" si="604"/>
        <v>0</v>
      </c>
      <c r="K606" s="26" t="s">
        <v>53</v>
      </c>
      <c r="Z606" s="25">
        <f t="shared" si="605"/>
        <v>0</v>
      </c>
      <c r="AB606" s="25">
        <f t="shared" si="606"/>
        <v>0</v>
      </c>
      <c r="AC606" s="25">
        <f t="shared" si="607"/>
        <v>0</v>
      </c>
      <c r="AD606" s="25">
        <f t="shared" si="608"/>
        <v>0</v>
      </c>
      <c r="AE606" s="25">
        <f t="shared" si="609"/>
        <v>0</v>
      </c>
      <c r="AF606" s="25">
        <f t="shared" si="610"/>
        <v>0</v>
      </c>
      <c r="AG606" s="25">
        <f t="shared" si="611"/>
        <v>0</v>
      </c>
      <c r="AH606" s="25">
        <f t="shared" si="612"/>
        <v>0</v>
      </c>
      <c r="AI606" s="11" t="s">
        <v>46</v>
      </c>
      <c r="AJ606" s="25">
        <f t="shared" si="613"/>
        <v>0</v>
      </c>
      <c r="AK606" s="25">
        <f t="shared" si="614"/>
        <v>0</v>
      </c>
      <c r="AL606" s="25">
        <f t="shared" si="615"/>
        <v>0</v>
      </c>
      <c r="AN606" s="25">
        <v>21</v>
      </c>
      <c r="AO606" s="25">
        <f>G606*1</f>
        <v>0</v>
      </c>
      <c r="AP606" s="25">
        <f>G606*(1-1)</f>
        <v>0</v>
      </c>
      <c r="AQ606" s="27" t="s">
        <v>76</v>
      </c>
      <c r="AV606" s="25">
        <f t="shared" si="616"/>
        <v>0</v>
      </c>
      <c r="AW606" s="25">
        <f t="shared" si="617"/>
        <v>0</v>
      </c>
      <c r="AX606" s="25">
        <f t="shared" si="618"/>
        <v>0</v>
      </c>
      <c r="AY606" s="27" t="s">
        <v>1814</v>
      </c>
      <c r="AZ606" s="27" t="s">
        <v>1722</v>
      </c>
      <c r="BA606" s="11" t="s">
        <v>56</v>
      </c>
      <c r="BC606" s="25">
        <f t="shared" si="619"/>
        <v>0</v>
      </c>
      <c r="BD606" s="25">
        <f t="shared" si="620"/>
        <v>0</v>
      </c>
      <c r="BE606" s="25">
        <v>0</v>
      </c>
      <c r="BF606" s="25">
        <f>606</f>
        <v>606</v>
      </c>
      <c r="BH606" s="25">
        <f t="shared" si="621"/>
        <v>0</v>
      </c>
      <c r="BI606" s="25">
        <f t="shared" si="622"/>
        <v>0</v>
      </c>
      <c r="BJ606" s="25">
        <f t="shared" si="623"/>
        <v>0</v>
      </c>
      <c r="BK606" s="27" t="s">
        <v>75</v>
      </c>
      <c r="BL606" s="25">
        <v>786</v>
      </c>
      <c r="BW606" s="25">
        <v>21</v>
      </c>
      <c r="BX606" s="5" t="s">
        <v>1823</v>
      </c>
    </row>
    <row r="607" spans="1:76" x14ac:dyDescent="0.25">
      <c r="A607" s="2" t="s">
        <v>1824</v>
      </c>
      <c r="B607" s="3" t="s">
        <v>1825</v>
      </c>
      <c r="C607" s="93" t="s">
        <v>1826</v>
      </c>
      <c r="D607" s="94"/>
      <c r="E607" s="3" t="s">
        <v>93</v>
      </c>
      <c r="F607" s="25">
        <v>17.28</v>
      </c>
      <c r="G607" s="25">
        <v>0</v>
      </c>
      <c r="H607" s="25">
        <f t="shared" si="602"/>
        <v>0</v>
      </c>
      <c r="I607" s="25">
        <f t="shared" si="603"/>
        <v>0</v>
      </c>
      <c r="J607" s="25">
        <f t="shared" si="604"/>
        <v>0</v>
      </c>
      <c r="K607" s="26" t="s">
        <v>53</v>
      </c>
      <c r="Z607" s="25">
        <f t="shared" si="605"/>
        <v>0</v>
      </c>
      <c r="AB607" s="25">
        <f t="shared" si="606"/>
        <v>0</v>
      </c>
      <c r="AC607" s="25">
        <f t="shared" si="607"/>
        <v>0</v>
      </c>
      <c r="AD607" s="25">
        <f t="shared" si="608"/>
        <v>0</v>
      </c>
      <c r="AE607" s="25">
        <f t="shared" si="609"/>
        <v>0</v>
      </c>
      <c r="AF607" s="25">
        <f t="shared" si="610"/>
        <v>0</v>
      </c>
      <c r="AG607" s="25">
        <f t="shared" si="611"/>
        <v>0</v>
      </c>
      <c r="AH607" s="25">
        <f t="shared" si="612"/>
        <v>0</v>
      </c>
      <c r="AI607" s="11" t="s">
        <v>46</v>
      </c>
      <c r="AJ607" s="25">
        <f t="shared" si="613"/>
        <v>0</v>
      </c>
      <c r="AK607" s="25">
        <f t="shared" si="614"/>
        <v>0</v>
      </c>
      <c r="AL607" s="25">
        <f t="shared" si="615"/>
        <v>0</v>
      </c>
      <c r="AN607" s="25">
        <v>21</v>
      </c>
      <c r="AO607" s="25">
        <f>G607*0</f>
        <v>0</v>
      </c>
      <c r="AP607" s="25">
        <f>G607*(1-0)</f>
        <v>0</v>
      </c>
      <c r="AQ607" s="27" t="s">
        <v>76</v>
      </c>
      <c r="AV607" s="25">
        <f t="shared" si="616"/>
        <v>0</v>
      </c>
      <c r="AW607" s="25">
        <f t="shared" si="617"/>
        <v>0</v>
      </c>
      <c r="AX607" s="25">
        <f t="shared" si="618"/>
        <v>0</v>
      </c>
      <c r="AY607" s="27" t="s">
        <v>1814</v>
      </c>
      <c r="AZ607" s="27" t="s">
        <v>1722</v>
      </c>
      <c r="BA607" s="11" t="s">
        <v>56</v>
      </c>
      <c r="BC607" s="25">
        <f t="shared" si="619"/>
        <v>0</v>
      </c>
      <c r="BD607" s="25">
        <f t="shared" si="620"/>
        <v>0</v>
      </c>
      <c r="BE607" s="25">
        <v>0</v>
      </c>
      <c r="BF607" s="25">
        <f>607</f>
        <v>607</v>
      </c>
      <c r="BH607" s="25">
        <f t="shared" si="621"/>
        <v>0</v>
      </c>
      <c r="BI607" s="25">
        <f t="shared" si="622"/>
        <v>0</v>
      </c>
      <c r="BJ607" s="25">
        <f t="shared" si="623"/>
        <v>0</v>
      </c>
      <c r="BK607" s="27" t="s">
        <v>57</v>
      </c>
      <c r="BL607" s="25">
        <v>786</v>
      </c>
      <c r="BW607" s="25">
        <v>21</v>
      </c>
      <c r="BX607" s="5" t="s">
        <v>1826</v>
      </c>
    </row>
    <row r="608" spans="1:76" x14ac:dyDescent="0.25">
      <c r="A608" s="2" t="s">
        <v>1827</v>
      </c>
      <c r="B608" s="3" t="s">
        <v>1828</v>
      </c>
      <c r="C608" s="93" t="s">
        <v>1829</v>
      </c>
      <c r="D608" s="94"/>
      <c r="E608" s="3" t="s">
        <v>71</v>
      </c>
      <c r="F608" s="25">
        <v>5.0999999999999997E-2</v>
      </c>
      <c r="G608" s="25">
        <v>0</v>
      </c>
      <c r="H608" s="25">
        <f t="shared" si="602"/>
        <v>0</v>
      </c>
      <c r="I608" s="25">
        <f t="shared" si="603"/>
        <v>0</v>
      </c>
      <c r="J608" s="25">
        <f t="shared" si="604"/>
        <v>0</v>
      </c>
      <c r="K608" s="26" t="s">
        <v>53</v>
      </c>
      <c r="Z608" s="25">
        <f t="shared" si="605"/>
        <v>0</v>
      </c>
      <c r="AB608" s="25">
        <f t="shared" si="606"/>
        <v>0</v>
      </c>
      <c r="AC608" s="25">
        <f t="shared" si="607"/>
        <v>0</v>
      </c>
      <c r="AD608" s="25">
        <f t="shared" si="608"/>
        <v>0</v>
      </c>
      <c r="AE608" s="25">
        <f t="shared" si="609"/>
        <v>0</v>
      </c>
      <c r="AF608" s="25">
        <f t="shared" si="610"/>
        <v>0</v>
      </c>
      <c r="AG608" s="25">
        <f t="shared" si="611"/>
        <v>0</v>
      </c>
      <c r="AH608" s="25">
        <f t="shared" si="612"/>
        <v>0</v>
      </c>
      <c r="AI608" s="11" t="s">
        <v>46</v>
      </c>
      <c r="AJ608" s="25">
        <f t="shared" si="613"/>
        <v>0</v>
      </c>
      <c r="AK608" s="25">
        <f t="shared" si="614"/>
        <v>0</v>
      </c>
      <c r="AL608" s="25">
        <f t="shared" si="615"/>
        <v>0</v>
      </c>
      <c r="AN608" s="25">
        <v>21</v>
      </c>
      <c r="AO608" s="25">
        <f>G608*0</f>
        <v>0</v>
      </c>
      <c r="AP608" s="25">
        <f>G608*(1-0)</f>
        <v>0</v>
      </c>
      <c r="AQ608" s="27" t="s">
        <v>68</v>
      </c>
      <c r="AV608" s="25">
        <f t="shared" si="616"/>
        <v>0</v>
      </c>
      <c r="AW608" s="25">
        <f t="shared" si="617"/>
        <v>0</v>
      </c>
      <c r="AX608" s="25">
        <f t="shared" si="618"/>
        <v>0</v>
      </c>
      <c r="AY608" s="27" t="s">
        <v>1814</v>
      </c>
      <c r="AZ608" s="27" t="s">
        <v>1722</v>
      </c>
      <c r="BA608" s="11" t="s">
        <v>56</v>
      </c>
      <c r="BC608" s="25">
        <f t="shared" si="619"/>
        <v>0</v>
      </c>
      <c r="BD608" s="25">
        <f t="shared" si="620"/>
        <v>0</v>
      </c>
      <c r="BE608" s="25">
        <v>0</v>
      </c>
      <c r="BF608" s="25">
        <f>608</f>
        <v>608</v>
      </c>
      <c r="BH608" s="25">
        <f t="shared" si="621"/>
        <v>0</v>
      </c>
      <c r="BI608" s="25">
        <f t="shared" si="622"/>
        <v>0</v>
      </c>
      <c r="BJ608" s="25">
        <f t="shared" si="623"/>
        <v>0</v>
      </c>
      <c r="BK608" s="27" t="s">
        <v>57</v>
      </c>
      <c r="BL608" s="25">
        <v>786</v>
      </c>
      <c r="BW608" s="25">
        <v>21</v>
      </c>
      <c r="BX608" s="5" t="s">
        <v>1829</v>
      </c>
    </row>
    <row r="609" spans="1:76" x14ac:dyDescent="0.25">
      <c r="A609" s="28" t="s">
        <v>46</v>
      </c>
      <c r="B609" s="29" t="s">
        <v>1830</v>
      </c>
      <c r="C609" s="150" t="s">
        <v>1831</v>
      </c>
      <c r="D609" s="151"/>
      <c r="E609" s="30" t="s">
        <v>4</v>
      </c>
      <c r="F609" s="30" t="s">
        <v>4</v>
      </c>
      <c r="G609" s="30" t="s">
        <v>4</v>
      </c>
      <c r="H609" s="1">
        <f>ROUND(SUM(H610:H706),1)</f>
        <v>0</v>
      </c>
      <c r="I609" s="1">
        <f>ROUND(SUM(I610:I706),1)</f>
        <v>0</v>
      </c>
      <c r="J609" s="1">
        <f>ROUND(SUM(J610:J706),1)</f>
        <v>0</v>
      </c>
      <c r="K609" s="31" t="s">
        <v>46</v>
      </c>
      <c r="AI609" s="11" t="s">
        <v>46</v>
      </c>
      <c r="AS609" s="1">
        <f>SUM(AJ610:AJ706)</f>
        <v>0</v>
      </c>
      <c r="AT609" s="1">
        <f>SUM(AK610:AK706)</f>
        <v>0</v>
      </c>
      <c r="AU609" s="1">
        <f>SUM(AL610:AL706)</f>
        <v>0</v>
      </c>
    </row>
    <row r="610" spans="1:76" ht="25.5" x14ac:dyDescent="0.25">
      <c r="A610" s="2" t="s">
        <v>1832</v>
      </c>
      <c r="B610" s="3" t="s">
        <v>1833</v>
      </c>
      <c r="C610" s="93" t="s">
        <v>1834</v>
      </c>
      <c r="D610" s="94"/>
      <c r="E610" s="3" t="s">
        <v>52</v>
      </c>
      <c r="F610" s="25">
        <v>1</v>
      </c>
      <c r="G610" s="25">
        <v>0</v>
      </c>
      <c r="H610" s="25">
        <f t="shared" ref="H610:H641" si="624">ROUND(F610*AO610,2)</f>
        <v>0</v>
      </c>
      <c r="I610" s="25">
        <f t="shared" ref="I610:I641" si="625">ROUND(F610*AP610,2)</f>
        <v>0</v>
      </c>
      <c r="J610" s="25">
        <f t="shared" ref="J610:J641" si="626">ROUND(F610*G610,1)</f>
        <v>0</v>
      </c>
      <c r="K610" s="26" t="s">
        <v>53</v>
      </c>
      <c r="Z610" s="25">
        <f t="shared" ref="Z610:Z641" si="627">ROUND(IF(AQ610="5",BJ610,0),2)</f>
        <v>0</v>
      </c>
      <c r="AB610" s="25">
        <f t="shared" ref="AB610:AB641" si="628">ROUND(IF(AQ610="1",BH610,0),2)</f>
        <v>0</v>
      </c>
      <c r="AC610" s="25">
        <f t="shared" ref="AC610:AC641" si="629">ROUND(IF(AQ610="1",BI610,0),2)</f>
        <v>0</v>
      </c>
      <c r="AD610" s="25">
        <f t="shared" ref="AD610:AD641" si="630">ROUND(IF(AQ610="7",BH610,0),2)</f>
        <v>0</v>
      </c>
      <c r="AE610" s="25">
        <f t="shared" ref="AE610:AE641" si="631">ROUND(IF(AQ610="7",BI610,0),2)</f>
        <v>0</v>
      </c>
      <c r="AF610" s="25">
        <f t="shared" ref="AF610:AF641" si="632">ROUND(IF(AQ610="2",BH610,0),2)</f>
        <v>0</v>
      </c>
      <c r="AG610" s="25">
        <f t="shared" ref="AG610:AG641" si="633">ROUND(IF(AQ610="2",BI610,0),2)</f>
        <v>0</v>
      </c>
      <c r="AH610" s="25">
        <f t="shared" ref="AH610:AH641" si="634">ROUND(IF(AQ610="0",BJ610,0),2)</f>
        <v>0</v>
      </c>
      <c r="AI610" s="11" t="s">
        <v>46</v>
      </c>
      <c r="AJ610" s="25">
        <f t="shared" ref="AJ610:AJ641" si="635">IF(AN610=0,J610,0)</f>
        <v>0</v>
      </c>
      <c r="AK610" s="25">
        <f t="shared" ref="AK610:AK641" si="636">IF(AN610=12,J610,0)</f>
        <v>0</v>
      </c>
      <c r="AL610" s="25">
        <f t="shared" ref="AL610:AL641" si="637">IF(AN610=21,J610,0)</f>
        <v>0</v>
      </c>
      <c r="AN610" s="25">
        <v>21</v>
      </c>
      <c r="AO610" s="25">
        <f>G610*0.569999994</f>
        <v>0</v>
      </c>
      <c r="AP610" s="25">
        <f>G610*(1-0.569999994)</f>
        <v>0</v>
      </c>
      <c r="AQ610" s="27" t="s">
        <v>58</v>
      </c>
      <c r="AV610" s="25">
        <f t="shared" ref="AV610:AV641" si="638">ROUND(AW610+AX610,2)</f>
        <v>0</v>
      </c>
      <c r="AW610" s="25">
        <f t="shared" ref="AW610:AW641" si="639">ROUND(F610*AO610,2)</f>
        <v>0</v>
      </c>
      <c r="AX610" s="25">
        <f t="shared" ref="AX610:AX641" si="640">ROUND(F610*AP610,2)</f>
        <v>0</v>
      </c>
      <c r="AY610" s="27" t="s">
        <v>1835</v>
      </c>
      <c r="AZ610" s="27" t="s">
        <v>305</v>
      </c>
      <c r="BA610" s="11" t="s">
        <v>56</v>
      </c>
      <c r="BC610" s="25">
        <f t="shared" ref="BC610:BC641" si="641">AW610+AX610</f>
        <v>0</v>
      </c>
      <c r="BD610" s="25">
        <f t="shared" ref="BD610:BD641" si="642">G610/(100-BE610)*100</f>
        <v>0</v>
      </c>
      <c r="BE610" s="25">
        <v>0</v>
      </c>
      <c r="BF610" s="25">
        <f>610</f>
        <v>610</v>
      </c>
      <c r="BH610" s="25">
        <f t="shared" ref="BH610:BH641" si="643">F610*AO610</f>
        <v>0</v>
      </c>
      <c r="BI610" s="25">
        <f t="shared" ref="BI610:BI641" si="644">F610*AP610</f>
        <v>0</v>
      </c>
      <c r="BJ610" s="25">
        <f t="shared" ref="BJ610:BJ641" si="645">F610*G610</f>
        <v>0</v>
      </c>
      <c r="BK610" s="27" t="s">
        <v>57</v>
      </c>
      <c r="BL610" s="25"/>
      <c r="BW610" s="25">
        <v>21</v>
      </c>
      <c r="BX610" s="5" t="s">
        <v>1834</v>
      </c>
    </row>
    <row r="611" spans="1:76" x14ac:dyDescent="0.25">
      <c r="A611" s="2" t="s">
        <v>1836</v>
      </c>
      <c r="B611" s="3" t="s">
        <v>1837</v>
      </c>
      <c r="C611" s="93" t="s">
        <v>1838</v>
      </c>
      <c r="D611" s="94"/>
      <c r="E611" s="3" t="s">
        <v>52</v>
      </c>
      <c r="F611" s="25">
        <v>2</v>
      </c>
      <c r="G611" s="25">
        <v>0</v>
      </c>
      <c r="H611" s="25">
        <f t="shared" si="624"/>
        <v>0</v>
      </c>
      <c r="I611" s="25">
        <f t="shared" si="625"/>
        <v>0</v>
      </c>
      <c r="J611" s="25">
        <f t="shared" si="626"/>
        <v>0</v>
      </c>
      <c r="K611" s="26" t="s">
        <v>53</v>
      </c>
      <c r="Z611" s="25">
        <f t="shared" si="627"/>
        <v>0</v>
      </c>
      <c r="AB611" s="25">
        <f t="shared" si="628"/>
        <v>0</v>
      </c>
      <c r="AC611" s="25">
        <f t="shared" si="629"/>
        <v>0</v>
      </c>
      <c r="AD611" s="25">
        <f t="shared" si="630"/>
        <v>0</v>
      </c>
      <c r="AE611" s="25">
        <f t="shared" si="631"/>
        <v>0</v>
      </c>
      <c r="AF611" s="25">
        <f t="shared" si="632"/>
        <v>0</v>
      </c>
      <c r="AG611" s="25">
        <f t="shared" si="633"/>
        <v>0</v>
      </c>
      <c r="AH611" s="25">
        <f t="shared" si="634"/>
        <v>0</v>
      </c>
      <c r="AI611" s="11" t="s">
        <v>46</v>
      </c>
      <c r="AJ611" s="25">
        <f t="shared" si="635"/>
        <v>0</v>
      </c>
      <c r="AK611" s="25">
        <f t="shared" si="636"/>
        <v>0</v>
      </c>
      <c r="AL611" s="25">
        <f t="shared" si="637"/>
        <v>0</v>
      </c>
      <c r="AN611" s="25">
        <v>21</v>
      </c>
      <c r="AO611" s="25">
        <f>G611*0.569996231</f>
        <v>0</v>
      </c>
      <c r="AP611" s="25">
        <f>G611*(1-0.569996231)</f>
        <v>0</v>
      </c>
      <c r="AQ611" s="27" t="s">
        <v>58</v>
      </c>
      <c r="AV611" s="25">
        <f t="shared" si="638"/>
        <v>0</v>
      </c>
      <c r="AW611" s="25">
        <f t="shared" si="639"/>
        <v>0</v>
      </c>
      <c r="AX611" s="25">
        <f t="shared" si="640"/>
        <v>0</v>
      </c>
      <c r="AY611" s="27" t="s">
        <v>1835</v>
      </c>
      <c r="AZ611" s="27" t="s">
        <v>305</v>
      </c>
      <c r="BA611" s="11" t="s">
        <v>56</v>
      </c>
      <c r="BC611" s="25">
        <f t="shared" si="641"/>
        <v>0</v>
      </c>
      <c r="BD611" s="25">
        <f t="shared" si="642"/>
        <v>0</v>
      </c>
      <c r="BE611" s="25">
        <v>0</v>
      </c>
      <c r="BF611" s="25">
        <f>611</f>
        <v>611</v>
      </c>
      <c r="BH611" s="25">
        <f t="shared" si="643"/>
        <v>0</v>
      </c>
      <c r="BI611" s="25">
        <f t="shared" si="644"/>
        <v>0</v>
      </c>
      <c r="BJ611" s="25">
        <f t="shared" si="645"/>
        <v>0</v>
      </c>
      <c r="BK611" s="27" t="s">
        <v>57</v>
      </c>
      <c r="BL611" s="25"/>
      <c r="BW611" s="25">
        <v>21</v>
      </c>
      <c r="BX611" s="5" t="s">
        <v>1838</v>
      </c>
    </row>
    <row r="612" spans="1:76" x14ac:dyDescent="0.25">
      <c r="A612" s="2" t="s">
        <v>1839</v>
      </c>
      <c r="B612" s="3" t="s">
        <v>1840</v>
      </c>
      <c r="C612" s="93" t="s">
        <v>1841</v>
      </c>
      <c r="D612" s="94"/>
      <c r="E612" s="3" t="s">
        <v>52</v>
      </c>
      <c r="F612" s="25">
        <v>1</v>
      </c>
      <c r="G612" s="25">
        <v>0</v>
      </c>
      <c r="H612" s="25">
        <f t="shared" si="624"/>
        <v>0</v>
      </c>
      <c r="I612" s="25">
        <f t="shared" si="625"/>
        <v>0</v>
      </c>
      <c r="J612" s="25">
        <f t="shared" si="626"/>
        <v>0</v>
      </c>
      <c r="K612" s="26" t="s">
        <v>53</v>
      </c>
      <c r="Z612" s="25">
        <f t="shared" si="627"/>
        <v>0</v>
      </c>
      <c r="AB612" s="25">
        <f t="shared" si="628"/>
        <v>0</v>
      </c>
      <c r="AC612" s="25">
        <f t="shared" si="629"/>
        <v>0</v>
      </c>
      <c r="AD612" s="25">
        <f t="shared" si="630"/>
        <v>0</v>
      </c>
      <c r="AE612" s="25">
        <f t="shared" si="631"/>
        <v>0</v>
      </c>
      <c r="AF612" s="25">
        <f t="shared" si="632"/>
        <v>0</v>
      </c>
      <c r="AG612" s="25">
        <f t="shared" si="633"/>
        <v>0</v>
      </c>
      <c r="AH612" s="25">
        <f t="shared" si="634"/>
        <v>0</v>
      </c>
      <c r="AI612" s="11" t="s">
        <v>46</v>
      </c>
      <c r="AJ612" s="25">
        <f t="shared" si="635"/>
        <v>0</v>
      </c>
      <c r="AK612" s="25">
        <f t="shared" si="636"/>
        <v>0</v>
      </c>
      <c r="AL612" s="25">
        <f t="shared" si="637"/>
        <v>0</v>
      </c>
      <c r="AN612" s="25">
        <v>21</v>
      </c>
      <c r="AO612" s="25">
        <f>G612*0.569985525</f>
        <v>0</v>
      </c>
      <c r="AP612" s="25">
        <f>G612*(1-0.569985525)</f>
        <v>0</v>
      </c>
      <c r="AQ612" s="27" t="s">
        <v>58</v>
      </c>
      <c r="AV612" s="25">
        <f t="shared" si="638"/>
        <v>0</v>
      </c>
      <c r="AW612" s="25">
        <f t="shared" si="639"/>
        <v>0</v>
      </c>
      <c r="AX612" s="25">
        <f t="shared" si="640"/>
        <v>0</v>
      </c>
      <c r="AY612" s="27" t="s">
        <v>1835</v>
      </c>
      <c r="AZ612" s="27" t="s">
        <v>305</v>
      </c>
      <c r="BA612" s="11" t="s">
        <v>56</v>
      </c>
      <c r="BC612" s="25">
        <f t="shared" si="641"/>
        <v>0</v>
      </c>
      <c r="BD612" s="25">
        <f t="shared" si="642"/>
        <v>0</v>
      </c>
      <c r="BE612" s="25">
        <v>0</v>
      </c>
      <c r="BF612" s="25">
        <f>612</f>
        <v>612</v>
      </c>
      <c r="BH612" s="25">
        <f t="shared" si="643"/>
        <v>0</v>
      </c>
      <c r="BI612" s="25">
        <f t="shared" si="644"/>
        <v>0</v>
      </c>
      <c r="BJ612" s="25">
        <f t="shared" si="645"/>
        <v>0</v>
      </c>
      <c r="BK612" s="27" t="s">
        <v>57</v>
      </c>
      <c r="BL612" s="25"/>
      <c r="BW612" s="25">
        <v>21</v>
      </c>
      <c r="BX612" s="5" t="s">
        <v>1841</v>
      </c>
    </row>
    <row r="613" spans="1:76" x14ac:dyDescent="0.25">
      <c r="A613" s="2" t="s">
        <v>1842</v>
      </c>
      <c r="B613" s="3" t="s">
        <v>1843</v>
      </c>
      <c r="C613" s="93" t="s">
        <v>1844</v>
      </c>
      <c r="D613" s="94"/>
      <c r="E613" s="3" t="s">
        <v>52</v>
      </c>
      <c r="F613" s="25">
        <v>1</v>
      </c>
      <c r="G613" s="25">
        <v>0</v>
      </c>
      <c r="H613" s="25">
        <f t="shared" si="624"/>
        <v>0</v>
      </c>
      <c r="I613" s="25">
        <f t="shared" si="625"/>
        <v>0</v>
      </c>
      <c r="J613" s="25">
        <f t="shared" si="626"/>
        <v>0</v>
      </c>
      <c r="K613" s="26" t="s">
        <v>53</v>
      </c>
      <c r="Z613" s="25">
        <f t="shared" si="627"/>
        <v>0</v>
      </c>
      <c r="AB613" s="25">
        <f t="shared" si="628"/>
        <v>0</v>
      </c>
      <c r="AC613" s="25">
        <f t="shared" si="629"/>
        <v>0</v>
      </c>
      <c r="AD613" s="25">
        <f t="shared" si="630"/>
        <v>0</v>
      </c>
      <c r="AE613" s="25">
        <f t="shared" si="631"/>
        <v>0</v>
      </c>
      <c r="AF613" s="25">
        <f t="shared" si="632"/>
        <v>0</v>
      </c>
      <c r="AG613" s="25">
        <f t="shared" si="633"/>
        <v>0</v>
      </c>
      <c r="AH613" s="25">
        <f t="shared" si="634"/>
        <v>0</v>
      </c>
      <c r="AI613" s="11" t="s">
        <v>46</v>
      </c>
      <c r="AJ613" s="25">
        <f t="shared" si="635"/>
        <v>0</v>
      </c>
      <c r="AK613" s="25">
        <f t="shared" si="636"/>
        <v>0</v>
      </c>
      <c r="AL613" s="25">
        <f t="shared" si="637"/>
        <v>0</v>
      </c>
      <c r="AN613" s="25">
        <v>21</v>
      </c>
      <c r="AO613" s="25">
        <f>G613*0.569996845</f>
        <v>0</v>
      </c>
      <c r="AP613" s="25">
        <f>G613*(1-0.569996845)</f>
        <v>0</v>
      </c>
      <c r="AQ613" s="27" t="s">
        <v>58</v>
      </c>
      <c r="AV613" s="25">
        <f t="shared" si="638"/>
        <v>0</v>
      </c>
      <c r="AW613" s="25">
        <f t="shared" si="639"/>
        <v>0</v>
      </c>
      <c r="AX613" s="25">
        <f t="shared" si="640"/>
        <v>0</v>
      </c>
      <c r="AY613" s="27" t="s">
        <v>1835</v>
      </c>
      <c r="AZ613" s="27" t="s">
        <v>305</v>
      </c>
      <c r="BA613" s="11" t="s">
        <v>56</v>
      </c>
      <c r="BC613" s="25">
        <f t="shared" si="641"/>
        <v>0</v>
      </c>
      <c r="BD613" s="25">
        <f t="shared" si="642"/>
        <v>0</v>
      </c>
      <c r="BE613" s="25">
        <v>0</v>
      </c>
      <c r="BF613" s="25">
        <f>613</f>
        <v>613</v>
      </c>
      <c r="BH613" s="25">
        <f t="shared" si="643"/>
        <v>0</v>
      </c>
      <c r="BI613" s="25">
        <f t="shared" si="644"/>
        <v>0</v>
      </c>
      <c r="BJ613" s="25">
        <f t="shared" si="645"/>
        <v>0</v>
      </c>
      <c r="BK613" s="27" t="s">
        <v>57</v>
      </c>
      <c r="BL613" s="25"/>
      <c r="BW613" s="25">
        <v>21</v>
      </c>
      <c r="BX613" s="5" t="s">
        <v>1844</v>
      </c>
    </row>
    <row r="614" spans="1:76" x14ac:dyDescent="0.25">
      <c r="A614" s="2" t="s">
        <v>1845</v>
      </c>
      <c r="B614" s="3" t="s">
        <v>1846</v>
      </c>
      <c r="C614" s="93" t="s">
        <v>1847</v>
      </c>
      <c r="D614" s="94"/>
      <c r="E614" s="3" t="s">
        <v>52</v>
      </c>
      <c r="F614" s="25">
        <v>2</v>
      </c>
      <c r="G614" s="25">
        <v>0</v>
      </c>
      <c r="H614" s="25">
        <f t="shared" si="624"/>
        <v>0</v>
      </c>
      <c r="I614" s="25">
        <f t="shared" si="625"/>
        <v>0</v>
      </c>
      <c r="J614" s="25">
        <f t="shared" si="626"/>
        <v>0</v>
      </c>
      <c r="K614" s="26" t="s">
        <v>53</v>
      </c>
      <c r="Z614" s="25">
        <f t="shared" si="627"/>
        <v>0</v>
      </c>
      <c r="AB614" s="25">
        <f t="shared" si="628"/>
        <v>0</v>
      </c>
      <c r="AC614" s="25">
        <f t="shared" si="629"/>
        <v>0</v>
      </c>
      <c r="AD614" s="25">
        <f t="shared" si="630"/>
        <v>0</v>
      </c>
      <c r="AE614" s="25">
        <f t="shared" si="631"/>
        <v>0</v>
      </c>
      <c r="AF614" s="25">
        <f t="shared" si="632"/>
        <v>0</v>
      </c>
      <c r="AG614" s="25">
        <f t="shared" si="633"/>
        <v>0</v>
      </c>
      <c r="AH614" s="25">
        <f t="shared" si="634"/>
        <v>0</v>
      </c>
      <c r="AI614" s="11" t="s">
        <v>46</v>
      </c>
      <c r="AJ614" s="25">
        <f t="shared" si="635"/>
        <v>0</v>
      </c>
      <c r="AK614" s="25">
        <f t="shared" si="636"/>
        <v>0</v>
      </c>
      <c r="AL614" s="25">
        <f t="shared" si="637"/>
        <v>0</v>
      </c>
      <c r="AN614" s="25">
        <v>21</v>
      </c>
      <c r="AO614" s="25">
        <f>G614*0.570015125</f>
        <v>0</v>
      </c>
      <c r="AP614" s="25">
        <f>G614*(1-0.570015125)</f>
        <v>0</v>
      </c>
      <c r="AQ614" s="27" t="s">
        <v>58</v>
      </c>
      <c r="AV614" s="25">
        <f t="shared" si="638"/>
        <v>0</v>
      </c>
      <c r="AW614" s="25">
        <f t="shared" si="639"/>
        <v>0</v>
      </c>
      <c r="AX614" s="25">
        <f t="shared" si="640"/>
        <v>0</v>
      </c>
      <c r="AY614" s="27" t="s">
        <v>1835</v>
      </c>
      <c r="AZ614" s="27" t="s">
        <v>305</v>
      </c>
      <c r="BA614" s="11" t="s">
        <v>56</v>
      </c>
      <c r="BC614" s="25">
        <f t="shared" si="641"/>
        <v>0</v>
      </c>
      <c r="BD614" s="25">
        <f t="shared" si="642"/>
        <v>0</v>
      </c>
      <c r="BE614" s="25">
        <v>0</v>
      </c>
      <c r="BF614" s="25">
        <f>614</f>
        <v>614</v>
      </c>
      <c r="BH614" s="25">
        <f t="shared" si="643"/>
        <v>0</v>
      </c>
      <c r="BI614" s="25">
        <f t="shared" si="644"/>
        <v>0</v>
      </c>
      <c r="BJ614" s="25">
        <f t="shared" si="645"/>
        <v>0</v>
      </c>
      <c r="BK614" s="27" t="s">
        <v>57</v>
      </c>
      <c r="BL614" s="25"/>
      <c r="BW614" s="25">
        <v>21</v>
      </c>
      <c r="BX614" s="5" t="s">
        <v>1847</v>
      </c>
    </row>
    <row r="615" spans="1:76" x14ac:dyDescent="0.25">
      <c r="A615" s="2" t="s">
        <v>1848</v>
      </c>
      <c r="B615" s="3" t="s">
        <v>1849</v>
      </c>
      <c r="C615" s="93" t="s">
        <v>1850</v>
      </c>
      <c r="D615" s="94"/>
      <c r="E615" s="3" t="s">
        <v>52</v>
      </c>
      <c r="F615" s="25">
        <v>10</v>
      </c>
      <c r="G615" s="25">
        <v>0</v>
      </c>
      <c r="H615" s="25">
        <f t="shared" si="624"/>
        <v>0</v>
      </c>
      <c r="I615" s="25">
        <f t="shared" si="625"/>
        <v>0</v>
      </c>
      <c r="J615" s="25">
        <f t="shared" si="626"/>
        <v>0</v>
      </c>
      <c r="K615" s="26" t="s">
        <v>53</v>
      </c>
      <c r="Z615" s="25">
        <f t="shared" si="627"/>
        <v>0</v>
      </c>
      <c r="AB615" s="25">
        <f t="shared" si="628"/>
        <v>0</v>
      </c>
      <c r="AC615" s="25">
        <f t="shared" si="629"/>
        <v>0</v>
      </c>
      <c r="AD615" s="25">
        <f t="shared" si="630"/>
        <v>0</v>
      </c>
      <c r="AE615" s="25">
        <f t="shared" si="631"/>
        <v>0</v>
      </c>
      <c r="AF615" s="25">
        <f t="shared" si="632"/>
        <v>0</v>
      </c>
      <c r="AG615" s="25">
        <f t="shared" si="633"/>
        <v>0</v>
      </c>
      <c r="AH615" s="25">
        <f t="shared" si="634"/>
        <v>0</v>
      </c>
      <c r="AI615" s="11" t="s">
        <v>46</v>
      </c>
      <c r="AJ615" s="25">
        <f t="shared" si="635"/>
        <v>0</v>
      </c>
      <c r="AK615" s="25">
        <f t="shared" si="636"/>
        <v>0</v>
      </c>
      <c r="AL615" s="25">
        <f t="shared" si="637"/>
        <v>0</v>
      </c>
      <c r="AN615" s="25">
        <v>21</v>
      </c>
      <c r="AO615" s="25">
        <f>G615*0.570009639</f>
        <v>0</v>
      </c>
      <c r="AP615" s="25">
        <f>G615*(1-0.570009639)</f>
        <v>0</v>
      </c>
      <c r="AQ615" s="27" t="s">
        <v>58</v>
      </c>
      <c r="AV615" s="25">
        <f t="shared" si="638"/>
        <v>0</v>
      </c>
      <c r="AW615" s="25">
        <f t="shared" si="639"/>
        <v>0</v>
      </c>
      <c r="AX615" s="25">
        <f t="shared" si="640"/>
        <v>0</v>
      </c>
      <c r="AY615" s="27" t="s">
        <v>1835</v>
      </c>
      <c r="AZ615" s="27" t="s">
        <v>305</v>
      </c>
      <c r="BA615" s="11" t="s">
        <v>56</v>
      </c>
      <c r="BC615" s="25">
        <f t="shared" si="641"/>
        <v>0</v>
      </c>
      <c r="BD615" s="25">
        <f t="shared" si="642"/>
        <v>0</v>
      </c>
      <c r="BE615" s="25">
        <v>0</v>
      </c>
      <c r="BF615" s="25">
        <f>615</f>
        <v>615</v>
      </c>
      <c r="BH615" s="25">
        <f t="shared" si="643"/>
        <v>0</v>
      </c>
      <c r="BI615" s="25">
        <f t="shared" si="644"/>
        <v>0</v>
      </c>
      <c r="BJ615" s="25">
        <f t="shared" si="645"/>
        <v>0</v>
      </c>
      <c r="BK615" s="27" t="s">
        <v>57</v>
      </c>
      <c r="BL615" s="25"/>
      <c r="BW615" s="25">
        <v>21</v>
      </c>
      <c r="BX615" s="5" t="s">
        <v>1850</v>
      </c>
    </row>
    <row r="616" spans="1:76" x14ac:dyDescent="0.25">
      <c r="A616" s="2" t="s">
        <v>1851</v>
      </c>
      <c r="B616" s="3" t="s">
        <v>1852</v>
      </c>
      <c r="C616" s="93" t="s">
        <v>1853</v>
      </c>
      <c r="D616" s="94"/>
      <c r="E616" s="3" t="s">
        <v>52</v>
      </c>
      <c r="F616" s="25">
        <v>374</v>
      </c>
      <c r="G616" s="25">
        <v>0</v>
      </c>
      <c r="H616" s="25">
        <f t="shared" si="624"/>
        <v>0</v>
      </c>
      <c r="I616" s="25">
        <f t="shared" si="625"/>
        <v>0</v>
      </c>
      <c r="J616" s="25">
        <f t="shared" si="626"/>
        <v>0</v>
      </c>
      <c r="K616" s="26" t="s">
        <v>53</v>
      </c>
      <c r="Z616" s="25">
        <f t="shared" si="627"/>
        <v>0</v>
      </c>
      <c r="AB616" s="25">
        <f t="shared" si="628"/>
        <v>0</v>
      </c>
      <c r="AC616" s="25">
        <f t="shared" si="629"/>
        <v>0</v>
      </c>
      <c r="AD616" s="25">
        <f t="shared" si="630"/>
        <v>0</v>
      </c>
      <c r="AE616" s="25">
        <f t="shared" si="631"/>
        <v>0</v>
      </c>
      <c r="AF616" s="25">
        <f t="shared" si="632"/>
        <v>0</v>
      </c>
      <c r="AG616" s="25">
        <f t="shared" si="633"/>
        <v>0</v>
      </c>
      <c r="AH616" s="25">
        <f t="shared" si="634"/>
        <v>0</v>
      </c>
      <c r="AI616" s="11" t="s">
        <v>46</v>
      </c>
      <c r="AJ616" s="25">
        <f t="shared" si="635"/>
        <v>0</v>
      </c>
      <c r="AK616" s="25">
        <f t="shared" si="636"/>
        <v>0</v>
      </c>
      <c r="AL616" s="25">
        <f t="shared" si="637"/>
        <v>0</v>
      </c>
      <c r="AN616" s="25">
        <v>21</v>
      </c>
      <c r="AO616" s="25">
        <f>G616*0.569994974</f>
        <v>0</v>
      </c>
      <c r="AP616" s="25">
        <f>G616*(1-0.569994974)</f>
        <v>0</v>
      </c>
      <c r="AQ616" s="27" t="s">
        <v>58</v>
      </c>
      <c r="AV616" s="25">
        <f t="shared" si="638"/>
        <v>0</v>
      </c>
      <c r="AW616" s="25">
        <f t="shared" si="639"/>
        <v>0</v>
      </c>
      <c r="AX616" s="25">
        <f t="shared" si="640"/>
        <v>0</v>
      </c>
      <c r="AY616" s="27" t="s">
        <v>1835</v>
      </c>
      <c r="AZ616" s="27" t="s">
        <v>305</v>
      </c>
      <c r="BA616" s="11" t="s">
        <v>56</v>
      </c>
      <c r="BC616" s="25">
        <f t="shared" si="641"/>
        <v>0</v>
      </c>
      <c r="BD616" s="25">
        <f t="shared" si="642"/>
        <v>0</v>
      </c>
      <c r="BE616" s="25">
        <v>0</v>
      </c>
      <c r="BF616" s="25">
        <f>616</f>
        <v>616</v>
      </c>
      <c r="BH616" s="25">
        <f t="shared" si="643"/>
        <v>0</v>
      </c>
      <c r="BI616" s="25">
        <f t="shared" si="644"/>
        <v>0</v>
      </c>
      <c r="BJ616" s="25">
        <f t="shared" si="645"/>
        <v>0</v>
      </c>
      <c r="BK616" s="27" t="s">
        <v>57</v>
      </c>
      <c r="BL616" s="25"/>
      <c r="BW616" s="25">
        <v>21</v>
      </c>
      <c r="BX616" s="5" t="s">
        <v>1853</v>
      </c>
    </row>
    <row r="617" spans="1:76" x14ac:dyDescent="0.25">
      <c r="A617" s="2" t="s">
        <v>1854</v>
      </c>
      <c r="B617" s="3" t="s">
        <v>1855</v>
      </c>
      <c r="C617" s="93" t="s">
        <v>1856</v>
      </c>
      <c r="D617" s="94"/>
      <c r="E617" s="3" t="s">
        <v>52</v>
      </c>
      <c r="F617" s="25">
        <v>6</v>
      </c>
      <c r="G617" s="25">
        <v>0</v>
      </c>
      <c r="H617" s="25">
        <f t="shared" si="624"/>
        <v>0</v>
      </c>
      <c r="I617" s="25">
        <f t="shared" si="625"/>
        <v>0</v>
      </c>
      <c r="J617" s="25">
        <f t="shared" si="626"/>
        <v>0</v>
      </c>
      <c r="K617" s="26" t="s">
        <v>53</v>
      </c>
      <c r="Z617" s="25">
        <f t="shared" si="627"/>
        <v>0</v>
      </c>
      <c r="AB617" s="25">
        <f t="shared" si="628"/>
        <v>0</v>
      </c>
      <c r="AC617" s="25">
        <f t="shared" si="629"/>
        <v>0</v>
      </c>
      <c r="AD617" s="25">
        <f t="shared" si="630"/>
        <v>0</v>
      </c>
      <c r="AE617" s="25">
        <f t="shared" si="631"/>
        <v>0</v>
      </c>
      <c r="AF617" s="25">
        <f t="shared" si="632"/>
        <v>0</v>
      </c>
      <c r="AG617" s="25">
        <f t="shared" si="633"/>
        <v>0</v>
      </c>
      <c r="AH617" s="25">
        <f t="shared" si="634"/>
        <v>0</v>
      </c>
      <c r="AI617" s="11" t="s">
        <v>46</v>
      </c>
      <c r="AJ617" s="25">
        <f t="shared" si="635"/>
        <v>0</v>
      </c>
      <c r="AK617" s="25">
        <f t="shared" si="636"/>
        <v>0</v>
      </c>
      <c r="AL617" s="25">
        <f t="shared" si="637"/>
        <v>0</v>
      </c>
      <c r="AN617" s="25">
        <v>21</v>
      </c>
      <c r="AO617" s="25">
        <f>G617*0.569984574</f>
        <v>0</v>
      </c>
      <c r="AP617" s="25">
        <f>G617*(1-0.569984574)</f>
        <v>0</v>
      </c>
      <c r="AQ617" s="27" t="s">
        <v>58</v>
      </c>
      <c r="AV617" s="25">
        <f t="shared" si="638"/>
        <v>0</v>
      </c>
      <c r="AW617" s="25">
        <f t="shared" si="639"/>
        <v>0</v>
      </c>
      <c r="AX617" s="25">
        <f t="shared" si="640"/>
        <v>0</v>
      </c>
      <c r="AY617" s="27" t="s">
        <v>1835</v>
      </c>
      <c r="AZ617" s="27" t="s">
        <v>305</v>
      </c>
      <c r="BA617" s="11" t="s">
        <v>56</v>
      </c>
      <c r="BC617" s="25">
        <f t="shared" si="641"/>
        <v>0</v>
      </c>
      <c r="BD617" s="25">
        <f t="shared" si="642"/>
        <v>0</v>
      </c>
      <c r="BE617" s="25">
        <v>0</v>
      </c>
      <c r="BF617" s="25">
        <f>617</f>
        <v>617</v>
      </c>
      <c r="BH617" s="25">
        <f t="shared" si="643"/>
        <v>0</v>
      </c>
      <c r="BI617" s="25">
        <f t="shared" si="644"/>
        <v>0</v>
      </c>
      <c r="BJ617" s="25">
        <f t="shared" si="645"/>
        <v>0</v>
      </c>
      <c r="BK617" s="27" t="s">
        <v>57</v>
      </c>
      <c r="BL617" s="25"/>
      <c r="BW617" s="25">
        <v>21</v>
      </c>
      <c r="BX617" s="5" t="s">
        <v>1856</v>
      </c>
    </row>
    <row r="618" spans="1:76" x14ac:dyDescent="0.25">
      <c r="A618" s="2" t="s">
        <v>1857</v>
      </c>
      <c r="B618" s="3" t="s">
        <v>1858</v>
      </c>
      <c r="C618" s="93" t="s">
        <v>1859</v>
      </c>
      <c r="D618" s="94"/>
      <c r="E618" s="3" t="s">
        <v>52</v>
      </c>
      <c r="F618" s="25">
        <v>6</v>
      </c>
      <c r="G618" s="25">
        <v>0</v>
      </c>
      <c r="H618" s="25">
        <f t="shared" si="624"/>
        <v>0</v>
      </c>
      <c r="I618" s="25">
        <f t="shared" si="625"/>
        <v>0</v>
      </c>
      <c r="J618" s="25">
        <f t="shared" si="626"/>
        <v>0</v>
      </c>
      <c r="K618" s="26" t="s">
        <v>53</v>
      </c>
      <c r="Z618" s="25">
        <f t="shared" si="627"/>
        <v>0</v>
      </c>
      <c r="AB618" s="25">
        <f t="shared" si="628"/>
        <v>0</v>
      </c>
      <c r="AC618" s="25">
        <f t="shared" si="629"/>
        <v>0</v>
      </c>
      <c r="AD618" s="25">
        <f t="shared" si="630"/>
        <v>0</v>
      </c>
      <c r="AE618" s="25">
        <f t="shared" si="631"/>
        <v>0</v>
      </c>
      <c r="AF618" s="25">
        <f t="shared" si="632"/>
        <v>0</v>
      </c>
      <c r="AG618" s="25">
        <f t="shared" si="633"/>
        <v>0</v>
      </c>
      <c r="AH618" s="25">
        <f t="shared" si="634"/>
        <v>0</v>
      </c>
      <c r="AI618" s="11" t="s">
        <v>46</v>
      </c>
      <c r="AJ618" s="25">
        <f t="shared" si="635"/>
        <v>0</v>
      </c>
      <c r="AK618" s="25">
        <f t="shared" si="636"/>
        <v>0</v>
      </c>
      <c r="AL618" s="25">
        <f t="shared" si="637"/>
        <v>0</v>
      </c>
      <c r="AN618" s="25">
        <v>21</v>
      </c>
      <c r="AO618" s="25">
        <f>G618*0.570003159</f>
        <v>0</v>
      </c>
      <c r="AP618" s="25">
        <f>G618*(1-0.570003159)</f>
        <v>0</v>
      </c>
      <c r="AQ618" s="27" t="s">
        <v>58</v>
      </c>
      <c r="AV618" s="25">
        <f t="shared" si="638"/>
        <v>0</v>
      </c>
      <c r="AW618" s="25">
        <f t="shared" si="639"/>
        <v>0</v>
      </c>
      <c r="AX618" s="25">
        <f t="shared" si="640"/>
        <v>0</v>
      </c>
      <c r="AY618" s="27" t="s">
        <v>1835</v>
      </c>
      <c r="AZ618" s="27" t="s">
        <v>305</v>
      </c>
      <c r="BA618" s="11" t="s">
        <v>56</v>
      </c>
      <c r="BC618" s="25">
        <f t="shared" si="641"/>
        <v>0</v>
      </c>
      <c r="BD618" s="25">
        <f t="shared" si="642"/>
        <v>0</v>
      </c>
      <c r="BE618" s="25">
        <v>0</v>
      </c>
      <c r="BF618" s="25">
        <f>618</f>
        <v>618</v>
      </c>
      <c r="BH618" s="25">
        <f t="shared" si="643"/>
        <v>0</v>
      </c>
      <c r="BI618" s="25">
        <f t="shared" si="644"/>
        <v>0</v>
      </c>
      <c r="BJ618" s="25">
        <f t="shared" si="645"/>
        <v>0</v>
      </c>
      <c r="BK618" s="27" t="s">
        <v>57</v>
      </c>
      <c r="BL618" s="25"/>
      <c r="BW618" s="25">
        <v>21</v>
      </c>
      <c r="BX618" s="5" t="s">
        <v>1859</v>
      </c>
    </row>
    <row r="619" spans="1:76" x14ac:dyDescent="0.25">
      <c r="A619" s="2" t="s">
        <v>1860</v>
      </c>
      <c r="B619" s="3" t="s">
        <v>1861</v>
      </c>
      <c r="C619" s="93" t="s">
        <v>1862</v>
      </c>
      <c r="D619" s="94"/>
      <c r="E619" s="3" t="s">
        <v>131</v>
      </c>
      <c r="F619" s="25">
        <v>20</v>
      </c>
      <c r="G619" s="25">
        <v>0</v>
      </c>
      <c r="H619" s="25">
        <f t="shared" si="624"/>
        <v>0</v>
      </c>
      <c r="I619" s="25">
        <f t="shared" si="625"/>
        <v>0</v>
      </c>
      <c r="J619" s="25">
        <f t="shared" si="626"/>
        <v>0</v>
      </c>
      <c r="K619" s="26" t="s">
        <v>53</v>
      </c>
      <c r="Z619" s="25">
        <f t="shared" si="627"/>
        <v>0</v>
      </c>
      <c r="AB619" s="25">
        <f t="shared" si="628"/>
        <v>0</v>
      </c>
      <c r="AC619" s="25">
        <f t="shared" si="629"/>
        <v>0</v>
      </c>
      <c r="AD619" s="25">
        <f t="shared" si="630"/>
        <v>0</v>
      </c>
      <c r="AE619" s="25">
        <f t="shared" si="631"/>
        <v>0</v>
      </c>
      <c r="AF619" s="25">
        <f t="shared" si="632"/>
        <v>0</v>
      </c>
      <c r="AG619" s="25">
        <f t="shared" si="633"/>
        <v>0</v>
      </c>
      <c r="AH619" s="25">
        <f t="shared" si="634"/>
        <v>0</v>
      </c>
      <c r="AI619" s="11" t="s">
        <v>46</v>
      </c>
      <c r="AJ619" s="25">
        <f t="shared" si="635"/>
        <v>0</v>
      </c>
      <c r="AK619" s="25">
        <f t="shared" si="636"/>
        <v>0</v>
      </c>
      <c r="AL619" s="25">
        <f t="shared" si="637"/>
        <v>0</v>
      </c>
      <c r="AN619" s="25">
        <v>21</v>
      </c>
      <c r="AO619" s="25">
        <f>G619*0.570025189</f>
        <v>0</v>
      </c>
      <c r="AP619" s="25">
        <f>G619*(1-0.570025189)</f>
        <v>0</v>
      </c>
      <c r="AQ619" s="27" t="s">
        <v>58</v>
      </c>
      <c r="AV619" s="25">
        <f t="shared" si="638"/>
        <v>0</v>
      </c>
      <c r="AW619" s="25">
        <f t="shared" si="639"/>
        <v>0</v>
      </c>
      <c r="AX619" s="25">
        <f t="shared" si="640"/>
        <v>0</v>
      </c>
      <c r="AY619" s="27" t="s">
        <v>1835</v>
      </c>
      <c r="AZ619" s="27" t="s">
        <v>305</v>
      </c>
      <c r="BA619" s="11" t="s">
        <v>56</v>
      </c>
      <c r="BC619" s="25">
        <f t="shared" si="641"/>
        <v>0</v>
      </c>
      <c r="BD619" s="25">
        <f t="shared" si="642"/>
        <v>0</v>
      </c>
      <c r="BE619" s="25">
        <v>0</v>
      </c>
      <c r="BF619" s="25">
        <f>619</f>
        <v>619</v>
      </c>
      <c r="BH619" s="25">
        <f t="shared" si="643"/>
        <v>0</v>
      </c>
      <c r="BI619" s="25">
        <f t="shared" si="644"/>
        <v>0</v>
      </c>
      <c r="BJ619" s="25">
        <f t="shared" si="645"/>
        <v>0</v>
      </c>
      <c r="BK619" s="27" t="s">
        <v>57</v>
      </c>
      <c r="BL619" s="25"/>
      <c r="BW619" s="25">
        <v>21</v>
      </c>
      <c r="BX619" s="5" t="s">
        <v>1862</v>
      </c>
    </row>
    <row r="620" spans="1:76" x14ac:dyDescent="0.25">
      <c r="A620" s="2" t="s">
        <v>1863</v>
      </c>
      <c r="B620" s="3" t="s">
        <v>1864</v>
      </c>
      <c r="C620" s="93" t="s">
        <v>1865</v>
      </c>
      <c r="D620" s="94"/>
      <c r="E620" s="3" t="s">
        <v>131</v>
      </c>
      <c r="F620" s="25">
        <v>20</v>
      </c>
      <c r="G620" s="25">
        <v>0</v>
      </c>
      <c r="H620" s="25">
        <f t="shared" si="624"/>
        <v>0</v>
      </c>
      <c r="I620" s="25">
        <f t="shared" si="625"/>
        <v>0</v>
      </c>
      <c r="J620" s="25">
        <f t="shared" si="626"/>
        <v>0</v>
      </c>
      <c r="K620" s="26" t="s">
        <v>53</v>
      </c>
      <c r="Z620" s="25">
        <f t="shared" si="627"/>
        <v>0</v>
      </c>
      <c r="AB620" s="25">
        <f t="shared" si="628"/>
        <v>0</v>
      </c>
      <c r="AC620" s="25">
        <f t="shared" si="629"/>
        <v>0</v>
      </c>
      <c r="AD620" s="25">
        <f t="shared" si="630"/>
        <v>0</v>
      </c>
      <c r="AE620" s="25">
        <f t="shared" si="631"/>
        <v>0</v>
      </c>
      <c r="AF620" s="25">
        <f t="shared" si="632"/>
        <v>0</v>
      </c>
      <c r="AG620" s="25">
        <f t="shared" si="633"/>
        <v>0</v>
      </c>
      <c r="AH620" s="25">
        <f t="shared" si="634"/>
        <v>0</v>
      </c>
      <c r="AI620" s="11" t="s">
        <v>46</v>
      </c>
      <c r="AJ620" s="25">
        <f t="shared" si="635"/>
        <v>0</v>
      </c>
      <c r="AK620" s="25">
        <f t="shared" si="636"/>
        <v>0</v>
      </c>
      <c r="AL620" s="25">
        <f t="shared" si="637"/>
        <v>0</v>
      </c>
      <c r="AN620" s="25">
        <v>21</v>
      </c>
      <c r="AO620" s="25">
        <f>G620*0.57001073</f>
        <v>0</v>
      </c>
      <c r="AP620" s="25">
        <f>G620*(1-0.57001073)</f>
        <v>0</v>
      </c>
      <c r="AQ620" s="27" t="s">
        <v>58</v>
      </c>
      <c r="AV620" s="25">
        <f t="shared" si="638"/>
        <v>0</v>
      </c>
      <c r="AW620" s="25">
        <f t="shared" si="639"/>
        <v>0</v>
      </c>
      <c r="AX620" s="25">
        <f t="shared" si="640"/>
        <v>0</v>
      </c>
      <c r="AY620" s="27" t="s">
        <v>1835</v>
      </c>
      <c r="AZ620" s="27" t="s">
        <v>305</v>
      </c>
      <c r="BA620" s="11" t="s">
        <v>56</v>
      </c>
      <c r="BC620" s="25">
        <f t="shared" si="641"/>
        <v>0</v>
      </c>
      <c r="BD620" s="25">
        <f t="shared" si="642"/>
        <v>0</v>
      </c>
      <c r="BE620" s="25">
        <v>0</v>
      </c>
      <c r="BF620" s="25">
        <f>620</f>
        <v>620</v>
      </c>
      <c r="BH620" s="25">
        <f t="shared" si="643"/>
        <v>0</v>
      </c>
      <c r="BI620" s="25">
        <f t="shared" si="644"/>
        <v>0</v>
      </c>
      <c r="BJ620" s="25">
        <f t="shared" si="645"/>
        <v>0</v>
      </c>
      <c r="BK620" s="27" t="s">
        <v>57</v>
      </c>
      <c r="BL620" s="25"/>
      <c r="BW620" s="25">
        <v>21</v>
      </c>
      <c r="BX620" s="5" t="s">
        <v>1865</v>
      </c>
    </row>
    <row r="621" spans="1:76" x14ac:dyDescent="0.25">
      <c r="A621" s="2" t="s">
        <v>1866</v>
      </c>
      <c r="B621" s="3" t="s">
        <v>1867</v>
      </c>
      <c r="C621" s="93" t="s">
        <v>1868</v>
      </c>
      <c r="D621" s="94"/>
      <c r="E621" s="3" t="s">
        <v>131</v>
      </c>
      <c r="F621" s="25">
        <v>20</v>
      </c>
      <c r="G621" s="25">
        <v>0</v>
      </c>
      <c r="H621" s="25">
        <f t="shared" si="624"/>
        <v>0</v>
      </c>
      <c r="I621" s="25">
        <f t="shared" si="625"/>
        <v>0</v>
      </c>
      <c r="J621" s="25">
        <f t="shared" si="626"/>
        <v>0</v>
      </c>
      <c r="K621" s="26" t="s">
        <v>53</v>
      </c>
      <c r="Z621" s="25">
        <f t="shared" si="627"/>
        <v>0</v>
      </c>
      <c r="AB621" s="25">
        <f t="shared" si="628"/>
        <v>0</v>
      </c>
      <c r="AC621" s="25">
        <f t="shared" si="629"/>
        <v>0</v>
      </c>
      <c r="AD621" s="25">
        <f t="shared" si="630"/>
        <v>0</v>
      </c>
      <c r="AE621" s="25">
        <f t="shared" si="631"/>
        <v>0</v>
      </c>
      <c r="AF621" s="25">
        <f t="shared" si="632"/>
        <v>0</v>
      </c>
      <c r="AG621" s="25">
        <f t="shared" si="633"/>
        <v>0</v>
      </c>
      <c r="AH621" s="25">
        <f t="shared" si="634"/>
        <v>0</v>
      </c>
      <c r="AI621" s="11" t="s">
        <v>46</v>
      </c>
      <c r="AJ621" s="25">
        <f t="shared" si="635"/>
        <v>0</v>
      </c>
      <c r="AK621" s="25">
        <f t="shared" si="636"/>
        <v>0</v>
      </c>
      <c r="AL621" s="25">
        <f t="shared" si="637"/>
        <v>0</v>
      </c>
      <c r="AN621" s="25">
        <v>21</v>
      </c>
      <c r="AO621" s="25">
        <f>G621*0.569971705</f>
        <v>0</v>
      </c>
      <c r="AP621" s="25">
        <f>G621*(1-0.569971705)</f>
        <v>0</v>
      </c>
      <c r="AQ621" s="27" t="s">
        <v>58</v>
      </c>
      <c r="AV621" s="25">
        <f t="shared" si="638"/>
        <v>0</v>
      </c>
      <c r="AW621" s="25">
        <f t="shared" si="639"/>
        <v>0</v>
      </c>
      <c r="AX621" s="25">
        <f t="shared" si="640"/>
        <v>0</v>
      </c>
      <c r="AY621" s="27" t="s">
        <v>1835</v>
      </c>
      <c r="AZ621" s="27" t="s">
        <v>305</v>
      </c>
      <c r="BA621" s="11" t="s">
        <v>56</v>
      </c>
      <c r="BC621" s="25">
        <f t="shared" si="641"/>
        <v>0</v>
      </c>
      <c r="BD621" s="25">
        <f t="shared" si="642"/>
        <v>0</v>
      </c>
      <c r="BE621" s="25">
        <v>0</v>
      </c>
      <c r="BF621" s="25">
        <f>621</f>
        <v>621</v>
      </c>
      <c r="BH621" s="25">
        <f t="shared" si="643"/>
        <v>0</v>
      </c>
      <c r="BI621" s="25">
        <f t="shared" si="644"/>
        <v>0</v>
      </c>
      <c r="BJ621" s="25">
        <f t="shared" si="645"/>
        <v>0</v>
      </c>
      <c r="BK621" s="27" t="s">
        <v>57</v>
      </c>
      <c r="BL621" s="25"/>
      <c r="BW621" s="25">
        <v>21</v>
      </c>
      <c r="BX621" s="5" t="s">
        <v>1868</v>
      </c>
    </row>
    <row r="622" spans="1:76" x14ac:dyDescent="0.25">
      <c r="A622" s="2" t="s">
        <v>1869</v>
      </c>
      <c r="B622" s="3" t="s">
        <v>1870</v>
      </c>
      <c r="C622" s="93" t="s">
        <v>1871</v>
      </c>
      <c r="D622" s="94"/>
      <c r="E622" s="3" t="s">
        <v>131</v>
      </c>
      <c r="F622" s="25">
        <v>36</v>
      </c>
      <c r="G622" s="25">
        <v>0</v>
      </c>
      <c r="H622" s="25">
        <f t="shared" si="624"/>
        <v>0</v>
      </c>
      <c r="I622" s="25">
        <f t="shared" si="625"/>
        <v>0</v>
      </c>
      <c r="J622" s="25">
        <f t="shared" si="626"/>
        <v>0</v>
      </c>
      <c r="K622" s="26" t="s">
        <v>53</v>
      </c>
      <c r="Z622" s="25">
        <f t="shared" si="627"/>
        <v>0</v>
      </c>
      <c r="AB622" s="25">
        <f t="shared" si="628"/>
        <v>0</v>
      </c>
      <c r="AC622" s="25">
        <f t="shared" si="629"/>
        <v>0</v>
      </c>
      <c r="AD622" s="25">
        <f t="shared" si="630"/>
        <v>0</v>
      </c>
      <c r="AE622" s="25">
        <f t="shared" si="631"/>
        <v>0</v>
      </c>
      <c r="AF622" s="25">
        <f t="shared" si="632"/>
        <v>0</v>
      </c>
      <c r="AG622" s="25">
        <f t="shared" si="633"/>
        <v>0</v>
      </c>
      <c r="AH622" s="25">
        <f t="shared" si="634"/>
        <v>0</v>
      </c>
      <c r="AI622" s="11" t="s">
        <v>46</v>
      </c>
      <c r="AJ622" s="25">
        <f t="shared" si="635"/>
        <v>0</v>
      </c>
      <c r="AK622" s="25">
        <f t="shared" si="636"/>
        <v>0</v>
      </c>
      <c r="AL622" s="25">
        <f t="shared" si="637"/>
        <v>0</v>
      </c>
      <c r="AN622" s="25">
        <v>21</v>
      </c>
      <c r="AO622" s="25">
        <f>G622*0.569999084</f>
        <v>0</v>
      </c>
      <c r="AP622" s="25">
        <f>G622*(1-0.569999084)</f>
        <v>0</v>
      </c>
      <c r="AQ622" s="27" t="s">
        <v>58</v>
      </c>
      <c r="AV622" s="25">
        <f t="shared" si="638"/>
        <v>0</v>
      </c>
      <c r="AW622" s="25">
        <f t="shared" si="639"/>
        <v>0</v>
      </c>
      <c r="AX622" s="25">
        <f t="shared" si="640"/>
        <v>0</v>
      </c>
      <c r="AY622" s="27" t="s">
        <v>1835</v>
      </c>
      <c r="AZ622" s="27" t="s">
        <v>305</v>
      </c>
      <c r="BA622" s="11" t="s">
        <v>56</v>
      </c>
      <c r="BC622" s="25">
        <f t="shared" si="641"/>
        <v>0</v>
      </c>
      <c r="BD622" s="25">
        <f t="shared" si="642"/>
        <v>0</v>
      </c>
      <c r="BE622" s="25">
        <v>0</v>
      </c>
      <c r="BF622" s="25">
        <f>622</f>
        <v>622</v>
      </c>
      <c r="BH622" s="25">
        <f t="shared" si="643"/>
        <v>0</v>
      </c>
      <c r="BI622" s="25">
        <f t="shared" si="644"/>
        <v>0</v>
      </c>
      <c r="BJ622" s="25">
        <f t="shared" si="645"/>
        <v>0</v>
      </c>
      <c r="BK622" s="27" t="s">
        <v>57</v>
      </c>
      <c r="BL622" s="25"/>
      <c r="BW622" s="25">
        <v>21</v>
      </c>
      <c r="BX622" s="5" t="s">
        <v>1871</v>
      </c>
    </row>
    <row r="623" spans="1:76" ht="25.5" x14ac:dyDescent="0.25">
      <c r="A623" s="2" t="s">
        <v>1872</v>
      </c>
      <c r="B623" s="3" t="s">
        <v>1873</v>
      </c>
      <c r="C623" s="93" t="s">
        <v>1874</v>
      </c>
      <c r="D623" s="94"/>
      <c r="E623" s="3" t="s">
        <v>52</v>
      </c>
      <c r="F623" s="25">
        <v>180</v>
      </c>
      <c r="G623" s="25">
        <v>0</v>
      </c>
      <c r="H623" s="25">
        <f t="shared" si="624"/>
        <v>0</v>
      </c>
      <c r="I623" s="25">
        <f t="shared" si="625"/>
        <v>0</v>
      </c>
      <c r="J623" s="25">
        <f t="shared" si="626"/>
        <v>0</v>
      </c>
      <c r="K623" s="26" t="s">
        <v>53</v>
      </c>
      <c r="Z623" s="25">
        <f t="shared" si="627"/>
        <v>0</v>
      </c>
      <c r="AB623" s="25">
        <f t="shared" si="628"/>
        <v>0</v>
      </c>
      <c r="AC623" s="25">
        <f t="shared" si="629"/>
        <v>0</v>
      </c>
      <c r="AD623" s="25">
        <f t="shared" si="630"/>
        <v>0</v>
      </c>
      <c r="AE623" s="25">
        <f t="shared" si="631"/>
        <v>0</v>
      </c>
      <c r="AF623" s="25">
        <f t="shared" si="632"/>
        <v>0</v>
      </c>
      <c r="AG623" s="25">
        <f t="shared" si="633"/>
        <v>0</v>
      </c>
      <c r="AH623" s="25">
        <f t="shared" si="634"/>
        <v>0</v>
      </c>
      <c r="AI623" s="11" t="s">
        <v>46</v>
      </c>
      <c r="AJ623" s="25">
        <f t="shared" si="635"/>
        <v>0</v>
      </c>
      <c r="AK623" s="25">
        <f t="shared" si="636"/>
        <v>0</v>
      </c>
      <c r="AL623" s="25">
        <f t="shared" si="637"/>
        <v>0</v>
      </c>
      <c r="AN623" s="25">
        <v>21</v>
      </c>
      <c r="AO623" s="25">
        <f>G623*0.570023148</f>
        <v>0</v>
      </c>
      <c r="AP623" s="25">
        <f>G623*(1-0.570023148)</f>
        <v>0</v>
      </c>
      <c r="AQ623" s="27" t="s">
        <v>58</v>
      </c>
      <c r="AV623" s="25">
        <f t="shared" si="638"/>
        <v>0</v>
      </c>
      <c r="AW623" s="25">
        <f t="shared" si="639"/>
        <v>0</v>
      </c>
      <c r="AX623" s="25">
        <f t="shared" si="640"/>
        <v>0</v>
      </c>
      <c r="AY623" s="27" t="s">
        <v>1835</v>
      </c>
      <c r="AZ623" s="27" t="s">
        <v>305</v>
      </c>
      <c r="BA623" s="11" t="s">
        <v>56</v>
      </c>
      <c r="BC623" s="25">
        <f t="shared" si="641"/>
        <v>0</v>
      </c>
      <c r="BD623" s="25">
        <f t="shared" si="642"/>
        <v>0</v>
      </c>
      <c r="BE623" s="25">
        <v>0</v>
      </c>
      <c r="BF623" s="25">
        <f>623</f>
        <v>623</v>
      </c>
      <c r="BH623" s="25">
        <f t="shared" si="643"/>
        <v>0</v>
      </c>
      <c r="BI623" s="25">
        <f t="shared" si="644"/>
        <v>0</v>
      </c>
      <c r="BJ623" s="25">
        <f t="shared" si="645"/>
        <v>0</v>
      </c>
      <c r="BK623" s="27" t="s">
        <v>57</v>
      </c>
      <c r="BL623" s="25"/>
      <c r="BW623" s="25">
        <v>21</v>
      </c>
      <c r="BX623" s="5" t="s">
        <v>1874</v>
      </c>
    </row>
    <row r="624" spans="1:76" x14ac:dyDescent="0.25">
      <c r="A624" s="2" t="s">
        <v>1875</v>
      </c>
      <c r="B624" s="3" t="s">
        <v>1876</v>
      </c>
      <c r="C624" s="93" t="s">
        <v>1877</v>
      </c>
      <c r="D624" s="94"/>
      <c r="E624" s="3" t="s">
        <v>131</v>
      </c>
      <c r="F624" s="25">
        <v>100</v>
      </c>
      <c r="G624" s="25">
        <v>0</v>
      </c>
      <c r="H624" s="25">
        <f t="shared" si="624"/>
        <v>0</v>
      </c>
      <c r="I624" s="25">
        <f t="shared" si="625"/>
        <v>0</v>
      </c>
      <c r="J624" s="25">
        <f t="shared" si="626"/>
        <v>0</v>
      </c>
      <c r="K624" s="26" t="s">
        <v>53</v>
      </c>
      <c r="Z624" s="25">
        <f t="shared" si="627"/>
        <v>0</v>
      </c>
      <c r="AB624" s="25">
        <f t="shared" si="628"/>
        <v>0</v>
      </c>
      <c r="AC624" s="25">
        <f t="shared" si="629"/>
        <v>0</v>
      </c>
      <c r="AD624" s="25">
        <f t="shared" si="630"/>
        <v>0</v>
      </c>
      <c r="AE624" s="25">
        <f t="shared" si="631"/>
        <v>0</v>
      </c>
      <c r="AF624" s="25">
        <f t="shared" si="632"/>
        <v>0</v>
      </c>
      <c r="AG624" s="25">
        <f t="shared" si="633"/>
        <v>0</v>
      </c>
      <c r="AH624" s="25">
        <f t="shared" si="634"/>
        <v>0</v>
      </c>
      <c r="AI624" s="11" t="s">
        <v>46</v>
      </c>
      <c r="AJ624" s="25">
        <f t="shared" si="635"/>
        <v>0</v>
      </c>
      <c r="AK624" s="25">
        <f t="shared" si="636"/>
        <v>0</v>
      </c>
      <c r="AL624" s="25">
        <f t="shared" si="637"/>
        <v>0</v>
      </c>
      <c r="AN624" s="25">
        <v>21</v>
      </c>
      <c r="AO624" s="25">
        <f>G624*0.569955435</f>
        <v>0</v>
      </c>
      <c r="AP624" s="25">
        <f>G624*(1-0.569955435)</f>
        <v>0</v>
      </c>
      <c r="AQ624" s="27" t="s">
        <v>58</v>
      </c>
      <c r="AV624" s="25">
        <f t="shared" si="638"/>
        <v>0</v>
      </c>
      <c r="AW624" s="25">
        <f t="shared" si="639"/>
        <v>0</v>
      </c>
      <c r="AX624" s="25">
        <f t="shared" si="640"/>
        <v>0</v>
      </c>
      <c r="AY624" s="27" t="s">
        <v>1835</v>
      </c>
      <c r="AZ624" s="27" t="s">
        <v>305</v>
      </c>
      <c r="BA624" s="11" t="s">
        <v>56</v>
      </c>
      <c r="BC624" s="25">
        <f t="shared" si="641"/>
        <v>0</v>
      </c>
      <c r="BD624" s="25">
        <f t="shared" si="642"/>
        <v>0</v>
      </c>
      <c r="BE624" s="25">
        <v>0</v>
      </c>
      <c r="BF624" s="25">
        <f>624</f>
        <v>624</v>
      </c>
      <c r="BH624" s="25">
        <f t="shared" si="643"/>
        <v>0</v>
      </c>
      <c r="BI624" s="25">
        <f t="shared" si="644"/>
        <v>0</v>
      </c>
      <c r="BJ624" s="25">
        <f t="shared" si="645"/>
        <v>0</v>
      </c>
      <c r="BK624" s="27" t="s">
        <v>57</v>
      </c>
      <c r="BL624" s="25"/>
      <c r="BW624" s="25">
        <v>21</v>
      </c>
      <c r="BX624" s="5" t="s">
        <v>1877</v>
      </c>
    </row>
    <row r="625" spans="1:76" x14ac:dyDescent="0.25">
      <c r="A625" s="2" t="s">
        <v>1878</v>
      </c>
      <c r="B625" s="3" t="s">
        <v>1879</v>
      </c>
      <c r="C625" s="93" t="s">
        <v>1880</v>
      </c>
      <c r="D625" s="94"/>
      <c r="E625" s="3" t="s">
        <v>131</v>
      </c>
      <c r="F625" s="25">
        <v>270</v>
      </c>
      <c r="G625" s="25">
        <v>0</v>
      </c>
      <c r="H625" s="25">
        <f t="shared" si="624"/>
        <v>0</v>
      </c>
      <c r="I625" s="25">
        <f t="shared" si="625"/>
        <v>0</v>
      </c>
      <c r="J625" s="25">
        <f t="shared" si="626"/>
        <v>0</v>
      </c>
      <c r="K625" s="26" t="s">
        <v>53</v>
      </c>
      <c r="Z625" s="25">
        <f t="shared" si="627"/>
        <v>0</v>
      </c>
      <c r="AB625" s="25">
        <f t="shared" si="628"/>
        <v>0</v>
      </c>
      <c r="AC625" s="25">
        <f t="shared" si="629"/>
        <v>0</v>
      </c>
      <c r="AD625" s="25">
        <f t="shared" si="630"/>
        <v>0</v>
      </c>
      <c r="AE625" s="25">
        <f t="shared" si="631"/>
        <v>0</v>
      </c>
      <c r="AF625" s="25">
        <f t="shared" si="632"/>
        <v>0</v>
      </c>
      <c r="AG625" s="25">
        <f t="shared" si="633"/>
        <v>0</v>
      </c>
      <c r="AH625" s="25">
        <f t="shared" si="634"/>
        <v>0</v>
      </c>
      <c r="AI625" s="11" t="s">
        <v>46</v>
      </c>
      <c r="AJ625" s="25">
        <f t="shared" si="635"/>
        <v>0</v>
      </c>
      <c r="AK625" s="25">
        <f t="shared" si="636"/>
        <v>0</v>
      </c>
      <c r="AL625" s="25">
        <f t="shared" si="637"/>
        <v>0</v>
      </c>
      <c r="AN625" s="25">
        <v>21</v>
      </c>
      <c r="AO625" s="25">
        <f>G625*0.569994714</f>
        <v>0</v>
      </c>
      <c r="AP625" s="25">
        <f>G625*(1-0.569994714)</f>
        <v>0</v>
      </c>
      <c r="AQ625" s="27" t="s">
        <v>58</v>
      </c>
      <c r="AV625" s="25">
        <f t="shared" si="638"/>
        <v>0</v>
      </c>
      <c r="AW625" s="25">
        <f t="shared" si="639"/>
        <v>0</v>
      </c>
      <c r="AX625" s="25">
        <f t="shared" si="640"/>
        <v>0</v>
      </c>
      <c r="AY625" s="27" t="s">
        <v>1835</v>
      </c>
      <c r="AZ625" s="27" t="s">
        <v>305</v>
      </c>
      <c r="BA625" s="11" t="s">
        <v>56</v>
      </c>
      <c r="BC625" s="25">
        <f t="shared" si="641"/>
        <v>0</v>
      </c>
      <c r="BD625" s="25">
        <f t="shared" si="642"/>
        <v>0</v>
      </c>
      <c r="BE625" s="25">
        <v>0</v>
      </c>
      <c r="BF625" s="25">
        <f>625</f>
        <v>625</v>
      </c>
      <c r="BH625" s="25">
        <f t="shared" si="643"/>
        <v>0</v>
      </c>
      <c r="BI625" s="25">
        <f t="shared" si="644"/>
        <v>0</v>
      </c>
      <c r="BJ625" s="25">
        <f t="shared" si="645"/>
        <v>0</v>
      </c>
      <c r="BK625" s="27" t="s">
        <v>57</v>
      </c>
      <c r="BL625" s="25"/>
      <c r="BW625" s="25">
        <v>21</v>
      </c>
      <c r="BX625" s="5" t="s">
        <v>1880</v>
      </c>
    </row>
    <row r="626" spans="1:76" x14ac:dyDescent="0.25">
      <c r="A626" s="2" t="s">
        <v>1881</v>
      </c>
      <c r="B626" s="3" t="s">
        <v>1882</v>
      </c>
      <c r="C626" s="93" t="s">
        <v>1883</v>
      </c>
      <c r="D626" s="94"/>
      <c r="E626" s="3" t="s">
        <v>131</v>
      </c>
      <c r="F626" s="25">
        <v>90</v>
      </c>
      <c r="G626" s="25">
        <v>0</v>
      </c>
      <c r="H626" s="25">
        <f t="shared" si="624"/>
        <v>0</v>
      </c>
      <c r="I626" s="25">
        <f t="shared" si="625"/>
        <v>0</v>
      </c>
      <c r="J626" s="25">
        <f t="shared" si="626"/>
        <v>0</v>
      </c>
      <c r="K626" s="26" t="s">
        <v>53</v>
      </c>
      <c r="Z626" s="25">
        <f t="shared" si="627"/>
        <v>0</v>
      </c>
      <c r="AB626" s="25">
        <f t="shared" si="628"/>
        <v>0</v>
      </c>
      <c r="AC626" s="25">
        <f t="shared" si="629"/>
        <v>0</v>
      </c>
      <c r="AD626" s="25">
        <f t="shared" si="630"/>
        <v>0</v>
      </c>
      <c r="AE626" s="25">
        <f t="shared" si="631"/>
        <v>0</v>
      </c>
      <c r="AF626" s="25">
        <f t="shared" si="632"/>
        <v>0</v>
      </c>
      <c r="AG626" s="25">
        <f t="shared" si="633"/>
        <v>0</v>
      </c>
      <c r="AH626" s="25">
        <f t="shared" si="634"/>
        <v>0</v>
      </c>
      <c r="AI626" s="11" t="s">
        <v>46</v>
      </c>
      <c r="AJ626" s="25">
        <f t="shared" si="635"/>
        <v>0</v>
      </c>
      <c r="AK626" s="25">
        <f t="shared" si="636"/>
        <v>0</v>
      </c>
      <c r="AL626" s="25">
        <f t="shared" si="637"/>
        <v>0</v>
      </c>
      <c r="AN626" s="25">
        <v>21</v>
      </c>
      <c r="AO626" s="25">
        <f>G626*0.57004862</f>
        <v>0</v>
      </c>
      <c r="AP626" s="25">
        <f>G626*(1-0.57004862)</f>
        <v>0</v>
      </c>
      <c r="AQ626" s="27" t="s">
        <v>58</v>
      </c>
      <c r="AV626" s="25">
        <f t="shared" si="638"/>
        <v>0</v>
      </c>
      <c r="AW626" s="25">
        <f t="shared" si="639"/>
        <v>0</v>
      </c>
      <c r="AX626" s="25">
        <f t="shared" si="640"/>
        <v>0</v>
      </c>
      <c r="AY626" s="27" t="s">
        <v>1835</v>
      </c>
      <c r="AZ626" s="27" t="s">
        <v>305</v>
      </c>
      <c r="BA626" s="11" t="s">
        <v>56</v>
      </c>
      <c r="BC626" s="25">
        <f t="shared" si="641"/>
        <v>0</v>
      </c>
      <c r="BD626" s="25">
        <f t="shared" si="642"/>
        <v>0</v>
      </c>
      <c r="BE626" s="25">
        <v>0</v>
      </c>
      <c r="BF626" s="25">
        <f>626</f>
        <v>626</v>
      </c>
      <c r="BH626" s="25">
        <f t="shared" si="643"/>
        <v>0</v>
      </c>
      <c r="BI626" s="25">
        <f t="shared" si="644"/>
        <v>0</v>
      </c>
      <c r="BJ626" s="25">
        <f t="shared" si="645"/>
        <v>0</v>
      </c>
      <c r="BK626" s="27" t="s">
        <v>57</v>
      </c>
      <c r="BL626" s="25"/>
      <c r="BW626" s="25">
        <v>21</v>
      </c>
      <c r="BX626" s="5" t="s">
        <v>1883</v>
      </c>
    </row>
    <row r="627" spans="1:76" x14ac:dyDescent="0.25">
      <c r="A627" s="2" t="s">
        <v>1884</v>
      </c>
      <c r="B627" s="3" t="s">
        <v>1885</v>
      </c>
      <c r="C627" s="93" t="s">
        <v>1886</v>
      </c>
      <c r="D627" s="94"/>
      <c r="E627" s="3" t="s">
        <v>131</v>
      </c>
      <c r="F627" s="25">
        <v>190</v>
      </c>
      <c r="G627" s="25">
        <v>0</v>
      </c>
      <c r="H627" s="25">
        <f t="shared" si="624"/>
        <v>0</v>
      </c>
      <c r="I627" s="25">
        <f t="shared" si="625"/>
        <v>0</v>
      </c>
      <c r="J627" s="25">
        <f t="shared" si="626"/>
        <v>0</v>
      </c>
      <c r="K627" s="26" t="s">
        <v>53</v>
      </c>
      <c r="Z627" s="25">
        <f t="shared" si="627"/>
        <v>0</v>
      </c>
      <c r="AB627" s="25">
        <f t="shared" si="628"/>
        <v>0</v>
      </c>
      <c r="AC627" s="25">
        <f t="shared" si="629"/>
        <v>0</v>
      </c>
      <c r="AD627" s="25">
        <f t="shared" si="630"/>
        <v>0</v>
      </c>
      <c r="AE627" s="25">
        <f t="shared" si="631"/>
        <v>0</v>
      </c>
      <c r="AF627" s="25">
        <f t="shared" si="632"/>
        <v>0</v>
      </c>
      <c r="AG627" s="25">
        <f t="shared" si="633"/>
        <v>0</v>
      </c>
      <c r="AH627" s="25">
        <f t="shared" si="634"/>
        <v>0</v>
      </c>
      <c r="AI627" s="11" t="s">
        <v>46</v>
      </c>
      <c r="AJ627" s="25">
        <f t="shared" si="635"/>
        <v>0</v>
      </c>
      <c r="AK627" s="25">
        <f t="shared" si="636"/>
        <v>0</v>
      </c>
      <c r="AL627" s="25">
        <f t="shared" si="637"/>
        <v>0</v>
      </c>
      <c r="AN627" s="25">
        <v>21</v>
      </c>
      <c r="AO627" s="25">
        <f>G627*0.570000101</f>
        <v>0</v>
      </c>
      <c r="AP627" s="25">
        <f>G627*(1-0.570000101)</f>
        <v>0</v>
      </c>
      <c r="AQ627" s="27" t="s">
        <v>58</v>
      </c>
      <c r="AV627" s="25">
        <f t="shared" si="638"/>
        <v>0</v>
      </c>
      <c r="AW627" s="25">
        <f t="shared" si="639"/>
        <v>0</v>
      </c>
      <c r="AX627" s="25">
        <f t="shared" si="640"/>
        <v>0</v>
      </c>
      <c r="AY627" s="27" t="s">
        <v>1835</v>
      </c>
      <c r="AZ627" s="27" t="s">
        <v>305</v>
      </c>
      <c r="BA627" s="11" t="s">
        <v>56</v>
      </c>
      <c r="BC627" s="25">
        <f t="shared" si="641"/>
        <v>0</v>
      </c>
      <c r="BD627" s="25">
        <f t="shared" si="642"/>
        <v>0</v>
      </c>
      <c r="BE627" s="25">
        <v>0</v>
      </c>
      <c r="BF627" s="25">
        <f>627</f>
        <v>627</v>
      </c>
      <c r="BH627" s="25">
        <f t="shared" si="643"/>
        <v>0</v>
      </c>
      <c r="BI627" s="25">
        <f t="shared" si="644"/>
        <v>0</v>
      </c>
      <c r="BJ627" s="25">
        <f t="shared" si="645"/>
        <v>0</v>
      </c>
      <c r="BK627" s="27" t="s">
        <v>57</v>
      </c>
      <c r="BL627" s="25"/>
      <c r="BW627" s="25">
        <v>21</v>
      </c>
      <c r="BX627" s="5" t="s">
        <v>1886</v>
      </c>
    </row>
    <row r="628" spans="1:76" x14ac:dyDescent="0.25">
      <c r="A628" s="2" t="s">
        <v>1887</v>
      </c>
      <c r="B628" s="3" t="s">
        <v>1888</v>
      </c>
      <c r="C628" s="93" t="s">
        <v>1889</v>
      </c>
      <c r="D628" s="94"/>
      <c r="E628" s="3" t="s">
        <v>131</v>
      </c>
      <c r="F628" s="25">
        <v>160</v>
      </c>
      <c r="G628" s="25">
        <v>0</v>
      </c>
      <c r="H628" s="25">
        <f t="shared" si="624"/>
        <v>0</v>
      </c>
      <c r="I628" s="25">
        <f t="shared" si="625"/>
        <v>0</v>
      </c>
      <c r="J628" s="25">
        <f t="shared" si="626"/>
        <v>0</v>
      </c>
      <c r="K628" s="26" t="s">
        <v>53</v>
      </c>
      <c r="Z628" s="25">
        <f t="shared" si="627"/>
        <v>0</v>
      </c>
      <c r="AB628" s="25">
        <f t="shared" si="628"/>
        <v>0</v>
      </c>
      <c r="AC628" s="25">
        <f t="shared" si="629"/>
        <v>0</v>
      </c>
      <c r="AD628" s="25">
        <f t="shared" si="630"/>
        <v>0</v>
      </c>
      <c r="AE628" s="25">
        <f t="shared" si="631"/>
        <v>0</v>
      </c>
      <c r="AF628" s="25">
        <f t="shared" si="632"/>
        <v>0</v>
      </c>
      <c r="AG628" s="25">
        <f t="shared" si="633"/>
        <v>0</v>
      </c>
      <c r="AH628" s="25">
        <f t="shared" si="634"/>
        <v>0</v>
      </c>
      <c r="AI628" s="11" t="s">
        <v>46</v>
      </c>
      <c r="AJ628" s="25">
        <f t="shared" si="635"/>
        <v>0</v>
      </c>
      <c r="AK628" s="25">
        <f t="shared" si="636"/>
        <v>0</v>
      </c>
      <c r="AL628" s="25">
        <f t="shared" si="637"/>
        <v>0</v>
      </c>
      <c r="AN628" s="25">
        <v>21</v>
      </c>
      <c r="AO628" s="25">
        <f>G628*0.570015496</f>
        <v>0</v>
      </c>
      <c r="AP628" s="25">
        <f>G628*(1-0.570015496)</f>
        <v>0</v>
      </c>
      <c r="AQ628" s="27" t="s">
        <v>58</v>
      </c>
      <c r="AV628" s="25">
        <f t="shared" si="638"/>
        <v>0</v>
      </c>
      <c r="AW628" s="25">
        <f t="shared" si="639"/>
        <v>0</v>
      </c>
      <c r="AX628" s="25">
        <f t="shared" si="640"/>
        <v>0</v>
      </c>
      <c r="AY628" s="27" t="s">
        <v>1835</v>
      </c>
      <c r="AZ628" s="27" t="s">
        <v>305</v>
      </c>
      <c r="BA628" s="11" t="s">
        <v>56</v>
      </c>
      <c r="BC628" s="25">
        <f t="shared" si="641"/>
        <v>0</v>
      </c>
      <c r="BD628" s="25">
        <f t="shared" si="642"/>
        <v>0</v>
      </c>
      <c r="BE628" s="25">
        <v>0</v>
      </c>
      <c r="BF628" s="25">
        <f>628</f>
        <v>628</v>
      </c>
      <c r="BH628" s="25">
        <f t="shared" si="643"/>
        <v>0</v>
      </c>
      <c r="BI628" s="25">
        <f t="shared" si="644"/>
        <v>0</v>
      </c>
      <c r="BJ628" s="25">
        <f t="shared" si="645"/>
        <v>0</v>
      </c>
      <c r="BK628" s="27" t="s">
        <v>57</v>
      </c>
      <c r="BL628" s="25"/>
      <c r="BW628" s="25">
        <v>21</v>
      </c>
      <c r="BX628" s="5" t="s">
        <v>1889</v>
      </c>
    </row>
    <row r="629" spans="1:76" x14ac:dyDescent="0.25">
      <c r="A629" s="2" t="s">
        <v>1890</v>
      </c>
      <c r="B629" s="3" t="s">
        <v>1891</v>
      </c>
      <c r="C629" s="93" t="s">
        <v>1892</v>
      </c>
      <c r="D629" s="94"/>
      <c r="E629" s="3" t="s">
        <v>131</v>
      </c>
      <c r="F629" s="25">
        <v>160</v>
      </c>
      <c r="G629" s="25">
        <v>0</v>
      </c>
      <c r="H629" s="25">
        <f t="shared" si="624"/>
        <v>0</v>
      </c>
      <c r="I629" s="25">
        <f t="shared" si="625"/>
        <v>0</v>
      </c>
      <c r="J629" s="25">
        <f t="shared" si="626"/>
        <v>0</v>
      </c>
      <c r="K629" s="26" t="s">
        <v>53</v>
      </c>
      <c r="Z629" s="25">
        <f t="shared" si="627"/>
        <v>0</v>
      </c>
      <c r="AB629" s="25">
        <f t="shared" si="628"/>
        <v>0</v>
      </c>
      <c r="AC629" s="25">
        <f t="shared" si="629"/>
        <v>0</v>
      </c>
      <c r="AD629" s="25">
        <f t="shared" si="630"/>
        <v>0</v>
      </c>
      <c r="AE629" s="25">
        <f t="shared" si="631"/>
        <v>0</v>
      </c>
      <c r="AF629" s="25">
        <f t="shared" si="632"/>
        <v>0</v>
      </c>
      <c r="AG629" s="25">
        <f t="shared" si="633"/>
        <v>0</v>
      </c>
      <c r="AH629" s="25">
        <f t="shared" si="634"/>
        <v>0</v>
      </c>
      <c r="AI629" s="11" t="s">
        <v>46</v>
      </c>
      <c r="AJ629" s="25">
        <f t="shared" si="635"/>
        <v>0</v>
      </c>
      <c r="AK629" s="25">
        <f t="shared" si="636"/>
        <v>0</v>
      </c>
      <c r="AL629" s="25">
        <f t="shared" si="637"/>
        <v>0</v>
      </c>
      <c r="AN629" s="25">
        <v>21</v>
      </c>
      <c r="AO629" s="25">
        <f>G629*0.569964797</f>
        <v>0</v>
      </c>
      <c r="AP629" s="25">
        <f>G629*(1-0.569964797)</f>
        <v>0</v>
      </c>
      <c r="AQ629" s="27" t="s">
        <v>58</v>
      </c>
      <c r="AV629" s="25">
        <f t="shared" si="638"/>
        <v>0</v>
      </c>
      <c r="AW629" s="25">
        <f t="shared" si="639"/>
        <v>0</v>
      </c>
      <c r="AX629" s="25">
        <f t="shared" si="640"/>
        <v>0</v>
      </c>
      <c r="AY629" s="27" t="s">
        <v>1835</v>
      </c>
      <c r="AZ629" s="27" t="s">
        <v>305</v>
      </c>
      <c r="BA629" s="11" t="s">
        <v>56</v>
      </c>
      <c r="BC629" s="25">
        <f t="shared" si="641"/>
        <v>0</v>
      </c>
      <c r="BD629" s="25">
        <f t="shared" si="642"/>
        <v>0</v>
      </c>
      <c r="BE629" s="25">
        <v>0</v>
      </c>
      <c r="BF629" s="25">
        <f>629</f>
        <v>629</v>
      </c>
      <c r="BH629" s="25">
        <f t="shared" si="643"/>
        <v>0</v>
      </c>
      <c r="BI629" s="25">
        <f t="shared" si="644"/>
        <v>0</v>
      </c>
      <c r="BJ629" s="25">
        <f t="shared" si="645"/>
        <v>0</v>
      </c>
      <c r="BK629" s="27" t="s">
        <v>57</v>
      </c>
      <c r="BL629" s="25"/>
      <c r="BW629" s="25">
        <v>21</v>
      </c>
      <c r="BX629" s="5" t="s">
        <v>1892</v>
      </c>
    </row>
    <row r="630" spans="1:76" x14ac:dyDescent="0.25">
      <c r="A630" s="2" t="s">
        <v>1893</v>
      </c>
      <c r="B630" s="3" t="s">
        <v>1894</v>
      </c>
      <c r="C630" s="93" t="s">
        <v>1895</v>
      </c>
      <c r="D630" s="94"/>
      <c r="E630" s="3" t="s">
        <v>131</v>
      </c>
      <c r="F630" s="25">
        <v>1350</v>
      </c>
      <c r="G630" s="25">
        <v>0</v>
      </c>
      <c r="H630" s="25">
        <f t="shared" si="624"/>
        <v>0</v>
      </c>
      <c r="I630" s="25">
        <f t="shared" si="625"/>
        <v>0</v>
      </c>
      <c r="J630" s="25">
        <f t="shared" si="626"/>
        <v>0</v>
      </c>
      <c r="K630" s="26" t="s">
        <v>53</v>
      </c>
      <c r="Z630" s="25">
        <f t="shared" si="627"/>
        <v>0</v>
      </c>
      <c r="AB630" s="25">
        <f t="shared" si="628"/>
        <v>0</v>
      </c>
      <c r="AC630" s="25">
        <f t="shared" si="629"/>
        <v>0</v>
      </c>
      <c r="AD630" s="25">
        <f t="shared" si="630"/>
        <v>0</v>
      </c>
      <c r="AE630" s="25">
        <f t="shared" si="631"/>
        <v>0</v>
      </c>
      <c r="AF630" s="25">
        <f t="shared" si="632"/>
        <v>0</v>
      </c>
      <c r="AG630" s="25">
        <f t="shared" si="633"/>
        <v>0</v>
      </c>
      <c r="AH630" s="25">
        <f t="shared" si="634"/>
        <v>0</v>
      </c>
      <c r="AI630" s="11" t="s">
        <v>46</v>
      </c>
      <c r="AJ630" s="25">
        <f t="shared" si="635"/>
        <v>0</v>
      </c>
      <c r="AK630" s="25">
        <f t="shared" si="636"/>
        <v>0</v>
      </c>
      <c r="AL630" s="25">
        <f t="shared" si="637"/>
        <v>0</v>
      </c>
      <c r="AN630" s="25">
        <v>21</v>
      </c>
      <c r="AO630" s="25">
        <f>G630*0.56996409</f>
        <v>0</v>
      </c>
      <c r="AP630" s="25">
        <f>G630*(1-0.56996409)</f>
        <v>0</v>
      </c>
      <c r="AQ630" s="27" t="s">
        <v>58</v>
      </c>
      <c r="AV630" s="25">
        <f t="shared" si="638"/>
        <v>0</v>
      </c>
      <c r="AW630" s="25">
        <f t="shared" si="639"/>
        <v>0</v>
      </c>
      <c r="AX630" s="25">
        <f t="shared" si="640"/>
        <v>0</v>
      </c>
      <c r="AY630" s="27" t="s">
        <v>1835</v>
      </c>
      <c r="AZ630" s="27" t="s">
        <v>305</v>
      </c>
      <c r="BA630" s="11" t="s">
        <v>56</v>
      </c>
      <c r="BC630" s="25">
        <f t="shared" si="641"/>
        <v>0</v>
      </c>
      <c r="BD630" s="25">
        <f t="shared" si="642"/>
        <v>0</v>
      </c>
      <c r="BE630" s="25">
        <v>0</v>
      </c>
      <c r="BF630" s="25">
        <f>630</f>
        <v>630</v>
      </c>
      <c r="BH630" s="25">
        <f t="shared" si="643"/>
        <v>0</v>
      </c>
      <c r="BI630" s="25">
        <f t="shared" si="644"/>
        <v>0</v>
      </c>
      <c r="BJ630" s="25">
        <f t="shared" si="645"/>
        <v>0</v>
      </c>
      <c r="BK630" s="27" t="s">
        <v>57</v>
      </c>
      <c r="BL630" s="25"/>
      <c r="BW630" s="25">
        <v>21</v>
      </c>
      <c r="BX630" s="5" t="s">
        <v>1895</v>
      </c>
    </row>
    <row r="631" spans="1:76" x14ac:dyDescent="0.25">
      <c r="A631" s="2" t="s">
        <v>1896</v>
      </c>
      <c r="B631" s="3" t="s">
        <v>1897</v>
      </c>
      <c r="C631" s="93" t="s">
        <v>1898</v>
      </c>
      <c r="D631" s="94"/>
      <c r="E631" s="3" t="s">
        <v>131</v>
      </c>
      <c r="F631" s="25">
        <v>200</v>
      </c>
      <c r="G631" s="25">
        <v>0</v>
      </c>
      <c r="H631" s="25">
        <f t="shared" si="624"/>
        <v>0</v>
      </c>
      <c r="I631" s="25">
        <f t="shared" si="625"/>
        <v>0</v>
      </c>
      <c r="J631" s="25">
        <f t="shared" si="626"/>
        <v>0</v>
      </c>
      <c r="K631" s="26" t="s">
        <v>53</v>
      </c>
      <c r="Z631" s="25">
        <f t="shared" si="627"/>
        <v>0</v>
      </c>
      <c r="AB631" s="25">
        <f t="shared" si="628"/>
        <v>0</v>
      </c>
      <c r="AC631" s="25">
        <f t="shared" si="629"/>
        <v>0</v>
      </c>
      <c r="AD631" s="25">
        <f t="shared" si="630"/>
        <v>0</v>
      </c>
      <c r="AE631" s="25">
        <f t="shared" si="631"/>
        <v>0</v>
      </c>
      <c r="AF631" s="25">
        <f t="shared" si="632"/>
        <v>0</v>
      </c>
      <c r="AG631" s="25">
        <f t="shared" si="633"/>
        <v>0</v>
      </c>
      <c r="AH631" s="25">
        <f t="shared" si="634"/>
        <v>0</v>
      </c>
      <c r="AI631" s="11" t="s">
        <v>46</v>
      </c>
      <c r="AJ631" s="25">
        <f t="shared" si="635"/>
        <v>0</v>
      </c>
      <c r="AK631" s="25">
        <f t="shared" si="636"/>
        <v>0</v>
      </c>
      <c r="AL631" s="25">
        <f t="shared" si="637"/>
        <v>0</v>
      </c>
      <c r="AN631" s="25">
        <v>21</v>
      </c>
      <c r="AO631" s="25">
        <f>G631*0.569993857</f>
        <v>0</v>
      </c>
      <c r="AP631" s="25">
        <f>G631*(1-0.569993857)</f>
        <v>0</v>
      </c>
      <c r="AQ631" s="27" t="s">
        <v>58</v>
      </c>
      <c r="AV631" s="25">
        <f t="shared" si="638"/>
        <v>0</v>
      </c>
      <c r="AW631" s="25">
        <f t="shared" si="639"/>
        <v>0</v>
      </c>
      <c r="AX631" s="25">
        <f t="shared" si="640"/>
        <v>0</v>
      </c>
      <c r="AY631" s="27" t="s">
        <v>1835</v>
      </c>
      <c r="AZ631" s="27" t="s">
        <v>305</v>
      </c>
      <c r="BA631" s="11" t="s">
        <v>56</v>
      </c>
      <c r="BC631" s="25">
        <f t="shared" si="641"/>
        <v>0</v>
      </c>
      <c r="BD631" s="25">
        <f t="shared" si="642"/>
        <v>0</v>
      </c>
      <c r="BE631" s="25">
        <v>0</v>
      </c>
      <c r="BF631" s="25">
        <f>631</f>
        <v>631</v>
      </c>
      <c r="BH631" s="25">
        <f t="shared" si="643"/>
        <v>0</v>
      </c>
      <c r="BI631" s="25">
        <f t="shared" si="644"/>
        <v>0</v>
      </c>
      <c r="BJ631" s="25">
        <f t="shared" si="645"/>
        <v>0</v>
      </c>
      <c r="BK631" s="27" t="s">
        <v>57</v>
      </c>
      <c r="BL631" s="25"/>
      <c r="BW631" s="25">
        <v>21</v>
      </c>
      <c r="BX631" s="5" t="s">
        <v>1898</v>
      </c>
    </row>
    <row r="632" spans="1:76" x14ac:dyDescent="0.25">
      <c r="A632" s="2" t="s">
        <v>1899</v>
      </c>
      <c r="B632" s="3" t="s">
        <v>1900</v>
      </c>
      <c r="C632" s="93" t="s">
        <v>1901</v>
      </c>
      <c r="D632" s="94"/>
      <c r="E632" s="3" t="s">
        <v>131</v>
      </c>
      <c r="F632" s="25">
        <v>2450</v>
      </c>
      <c r="G632" s="25">
        <v>0</v>
      </c>
      <c r="H632" s="25">
        <f t="shared" si="624"/>
        <v>0</v>
      </c>
      <c r="I632" s="25">
        <f t="shared" si="625"/>
        <v>0</v>
      </c>
      <c r="J632" s="25">
        <f t="shared" si="626"/>
        <v>0</v>
      </c>
      <c r="K632" s="26" t="s">
        <v>53</v>
      </c>
      <c r="Z632" s="25">
        <f t="shared" si="627"/>
        <v>0</v>
      </c>
      <c r="AB632" s="25">
        <f t="shared" si="628"/>
        <v>0</v>
      </c>
      <c r="AC632" s="25">
        <f t="shared" si="629"/>
        <v>0</v>
      </c>
      <c r="AD632" s="25">
        <f t="shared" si="630"/>
        <v>0</v>
      </c>
      <c r="AE632" s="25">
        <f t="shared" si="631"/>
        <v>0</v>
      </c>
      <c r="AF632" s="25">
        <f t="shared" si="632"/>
        <v>0</v>
      </c>
      <c r="AG632" s="25">
        <f t="shared" si="633"/>
        <v>0</v>
      </c>
      <c r="AH632" s="25">
        <f t="shared" si="634"/>
        <v>0</v>
      </c>
      <c r="AI632" s="11" t="s">
        <v>46</v>
      </c>
      <c r="AJ632" s="25">
        <f t="shared" si="635"/>
        <v>0</v>
      </c>
      <c r="AK632" s="25">
        <f t="shared" si="636"/>
        <v>0</v>
      </c>
      <c r="AL632" s="25">
        <f t="shared" si="637"/>
        <v>0</v>
      </c>
      <c r="AN632" s="25">
        <v>21</v>
      </c>
      <c r="AO632" s="25">
        <f>G632*0.569964536</f>
        <v>0</v>
      </c>
      <c r="AP632" s="25">
        <f>G632*(1-0.569964536)</f>
        <v>0</v>
      </c>
      <c r="AQ632" s="27" t="s">
        <v>58</v>
      </c>
      <c r="AV632" s="25">
        <f t="shared" si="638"/>
        <v>0</v>
      </c>
      <c r="AW632" s="25">
        <f t="shared" si="639"/>
        <v>0</v>
      </c>
      <c r="AX632" s="25">
        <f t="shared" si="640"/>
        <v>0</v>
      </c>
      <c r="AY632" s="27" t="s">
        <v>1835</v>
      </c>
      <c r="AZ632" s="27" t="s">
        <v>305</v>
      </c>
      <c r="BA632" s="11" t="s">
        <v>56</v>
      </c>
      <c r="BC632" s="25">
        <f t="shared" si="641"/>
        <v>0</v>
      </c>
      <c r="BD632" s="25">
        <f t="shared" si="642"/>
        <v>0</v>
      </c>
      <c r="BE632" s="25">
        <v>0</v>
      </c>
      <c r="BF632" s="25">
        <f>632</f>
        <v>632</v>
      </c>
      <c r="BH632" s="25">
        <f t="shared" si="643"/>
        <v>0</v>
      </c>
      <c r="BI632" s="25">
        <f t="shared" si="644"/>
        <v>0</v>
      </c>
      <c r="BJ632" s="25">
        <f t="shared" si="645"/>
        <v>0</v>
      </c>
      <c r="BK632" s="27" t="s">
        <v>57</v>
      </c>
      <c r="BL632" s="25"/>
      <c r="BW632" s="25">
        <v>21</v>
      </c>
      <c r="BX632" s="5" t="s">
        <v>1901</v>
      </c>
    </row>
    <row r="633" spans="1:76" x14ac:dyDescent="0.25">
      <c r="A633" s="2" t="s">
        <v>1902</v>
      </c>
      <c r="B633" s="3" t="s">
        <v>1903</v>
      </c>
      <c r="C633" s="93" t="s">
        <v>1904</v>
      </c>
      <c r="D633" s="94"/>
      <c r="E633" s="3" t="s">
        <v>131</v>
      </c>
      <c r="F633" s="25">
        <v>27</v>
      </c>
      <c r="G633" s="25">
        <v>0</v>
      </c>
      <c r="H633" s="25">
        <f t="shared" si="624"/>
        <v>0</v>
      </c>
      <c r="I633" s="25">
        <f t="shared" si="625"/>
        <v>0</v>
      </c>
      <c r="J633" s="25">
        <f t="shared" si="626"/>
        <v>0</v>
      </c>
      <c r="K633" s="26" t="s">
        <v>53</v>
      </c>
      <c r="Z633" s="25">
        <f t="shared" si="627"/>
        <v>0</v>
      </c>
      <c r="AB633" s="25">
        <f t="shared" si="628"/>
        <v>0</v>
      </c>
      <c r="AC633" s="25">
        <f t="shared" si="629"/>
        <v>0</v>
      </c>
      <c r="AD633" s="25">
        <f t="shared" si="630"/>
        <v>0</v>
      </c>
      <c r="AE633" s="25">
        <f t="shared" si="631"/>
        <v>0</v>
      </c>
      <c r="AF633" s="25">
        <f t="shared" si="632"/>
        <v>0</v>
      </c>
      <c r="AG633" s="25">
        <f t="shared" si="633"/>
        <v>0</v>
      </c>
      <c r="AH633" s="25">
        <f t="shared" si="634"/>
        <v>0</v>
      </c>
      <c r="AI633" s="11" t="s">
        <v>46</v>
      </c>
      <c r="AJ633" s="25">
        <f t="shared" si="635"/>
        <v>0</v>
      </c>
      <c r="AK633" s="25">
        <f t="shared" si="636"/>
        <v>0</v>
      </c>
      <c r="AL633" s="25">
        <f t="shared" si="637"/>
        <v>0</v>
      </c>
      <c r="AN633" s="25">
        <v>21</v>
      </c>
      <c r="AO633" s="25">
        <f>G633*0.569970019</f>
        <v>0</v>
      </c>
      <c r="AP633" s="25">
        <f>G633*(1-0.569970019)</f>
        <v>0</v>
      </c>
      <c r="AQ633" s="27" t="s">
        <v>58</v>
      </c>
      <c r="AV633" s="25">
        <f t="shared" si="638"/>
        <v>0</v>
      </c>
      <c r="AW633" s="25">
        <f t="shared" si="639"/>
        <v>0</v>
      </c>
      <c r="AX633" s="25">
        <f t="shared" si="640"/>
        <v>0</v>
      </c>
      <c r="AY633" s="27" t="s">
        <v>1835</v>
      </c>
      <c r="AZ633" s="27" t="s">
        <v>305</v>
      </c>
      <c r="BA633" s="11" t="s">
        <v>56</v>
      </c>
      <c r="BC633" s="25">
        <f t="shared" si="641"/>
        <v>0</v>
      </c>
      <c r="BD633" s="25">
        <f t="shared" si="642"/>
        <v>0</v>
      </c>
      <c r="BE633" s="25">
        <v>0</v>
      </c>
      <c r="BF633" s="25">
        <f>633</f>
        <v>633</v>
      </c>
      <c r="BH633" s="25">
        <f t="shared" si="643"/>
        <v>0</v>
      </c>
      <c r="BI633" s="25">
        <f t="shared" si="644"/>
        <v>0</v>
      </c>
      <c r="BJ633" s="25">
        <f t="shared" si="645"/>
        <v>0</v>
      </c>
      <c r="BK633" s="27" t="s">
        <v>57</v>
      </c>
      <c r="BL633" s="25"/>
      <c r="BW633" s="25">
        <v>21</v>
      </c>
      <c r="BX633" s="5" t="s">
        <v>1904</v>
      </c>
    </row>
    <row r="634" spans="1:76" x14ac:dyDescent="0.25">
      <c r="A634" s="2" t="s">
        <v>1905</v>
      </c>
      <c r="B634" s="3" t="s">
        <v>1906</v>
      </c>
      <c r="C634" s="93" t="s">
        <v>1907</v>
      </c>
      <c r="D634" s="94"/>
      <c r="E634" s="3" t="s">
        <v>131</v>
      </c>
      <c r="F634" s="25">
        <v>40</v>
      </c>
      <c r="G634" s="25">
        <v>0</v>
      </c>
      <c r="H634" s="25">
        <f t="shared" si="624"/>
        <v>0</v>
      </c>
      <c r="I634" s="25">
        <f t="shared" si="625"/>
        <v>0</v>
      </c>
      <c r="J634" s="25">
        <f t="shared" si="626"/>
        <v>0</v>
      </c>
      <c r="K634" s="26" t="s">
        <v>53</v>
      </c>
      <c r="Z634" s="25">
        <f t="shared" si="627"/>
        <v>0</v>
      </c>
      <c r="AB634" s="25">
        <f t="shared" si="628"/>
        <v>0</v>
      </c>
      <c r="AC634" s="25">
        <f t="shared" si="629"/>
        <v>0</v>
      </c>
      <c r="AD634" s="25">
        <f t="shared" si="630"/>
        <v>0</v>
      </c>
      <c r="AE634" s="25">
        <f t="shared" si="631"/>
        <v>0</v>
      </c>
      <c r="AF634" s="25">
        <f t="shared" si="632"/>
        <v>0</v>
      </c>
      <c r="AG634" s="25">
        <f t="shared" si="633"/>
        <v>0</v>
      </c>
      <c r="AH634" s="25">
        <f t="shared" si="634"/>
        <v>0</v>
      </c>
      <c r="AI634" s="11" t="s">
        <v>46</v>
      </c>
      <c r="AJ634" s="25">
        <f t="shared" si="635"/>
        <v>0</v>
      </c>
      <c r="AK634" s="25">
        <f t="shared" si="636"/>
        <v>0</v>
      </c>
      <c r="AL634" s="25">
        <f t="shared" si="637"/>
        <v>0</v>
      </c>
      <c r="AN634" s="25">
        <v>21</v>
      </c>
      <c r="AO634" s="25">
        <f>G634*0.570001255</f>
        <v>0</v>
      </c>
      <c r="AP634" s="25">
        <f>G634*(1-0.570001255)</f>
        <v>0</v>
      </c>
      <c r="AQ634" s="27" t="s">
        <v>58</v>
      </c>
      <c r="AV634" s="25">
        <f t="shared" si="638"/>
        <v>0</v>
      </c>
      <c r="AW634" s="25">
        <f t="shared" si="639"/>
        <v>0</v>
      </c>
      <c r="AX634" s="25">
        <f t="shared" si="640"/>
        <v>0</v>
      </c>
      <c r="AY634" s="27" t="s">
        <v>1835</v>
      </c>
      <c r="AZ634" s="27" t="s">
        <v>305</v>
      </c>
      <c r="BA634" s="11" t="s">
        <v>56</v>
      </c>
      <c r="BC634" s="25">
        <f t="shared" si="641"/>
        <v>0</v>
      </c>
      <c r="BD634" s="25">
        <f t="shared" si="642"/>
        <v>0</v>
      </c>
      <c r="BE634" s="25">
        <v>0</v>
      </c>
      <c r="BF634" s="25">
        <f>634</f>
        <v>634</v>
      </c>
      <c r="BH634" s="25">
        <f t="shared" si="643"/>
        <v>0</v>
      </c>
      <c r="BI634" s="25">
        <f t="shared" si="644"/>
        <v>0</v>
      </c>
      <c r="BJ634" s="25">
        <f t="shared" si="645"/>
        <v>0</v>
      </c>
      <c r="BK634" s="27" t="s">
        <v>57</v>
      </c>
      <c r="BL634" s="25"/>
      <c r="BW634" s="25">
        <v>21</v>
      </c>
      <c r="BX634" s="5" t="s">
        <v>1907</v>
      </c>
    </row>
    <row r="635" spans="1:76" x14ac:dyDescent="0.25">
      <c r="A635" s="2" t="s">
        <v>1908</v>
      </c>
      <c r="B635" s="3" t="s">
        <v>1909</v>
      </c>
      <c r="C635" s="93" t="s">
        <v>1910</v>
      </c>
      <c r="D635" s="94"/>
      <c r="E635" s="3" t="s">
        <v>131</v>
      </c>
      <c r="F635" s="25">
        <v>6</v>
      </c>
      <c r="G635" s="25">
        <v>0</v>
      </c>
      <c r="H635" s="25">
        <f t="shared" si="624"/>
        <v>0</v>
      </c>
      <c r="I635" s="25">
        <f t="shared" si="625"/>
        <v>0</v>
      </c>
      <c r="J635" s="25">
        <f t="shared" si="626"/>
        <v>0</v>
      </c>
      <c r="K635" s="26" t="s">
        <v>53</v>
      </c>
      <c r="Z635" s="25">
        <f t="shared" si="627"/>
        <v>0</v>
      </c>
      <c r="AB635" s="25">
        <f t="shared" si="628"/>
        <v>0</v>
      </c>
      <c r="AC635" s="25">
        <f t="shared" si="629"/>
        <v>0</v>
      </c>
      <c r="AD635" s="25">
        <f t="shared" si="630"/>
        <v>0</v>
      </c>
      <c r="AE635" s="25">
        <f t="shared" si="631"/>
        <v>0</v>
      </c>
      <c r="AF635" s="25">
        <f t="shared" si="632"/>
        <v>0</v>
      </c>
      <c r="AG635" s="25">
        <f t="shared" si="633"/>
        <v>0</v>
      </c>
      <c r="AH635" s="25">
        <f t="shared" si="634"/>
        <v>0</v>
      </c>
      <c r="AI635" s="11" t="s">
        <v>46</v>
      </c>
      <c r="AJ635" s="25">
        <f t="shared" si="635"/>
        <v>0</v>
      </c>
      <c r="AK635" s="25">
        <f t="shared" si="636"/>
        <v>0</v>
      </c>
      <c r="AL635" s="25">
        <f t="shared" si="637"/>
        <v>0</v>
      </c>
      <c r="AN635" s="25">
        <v>21</v>
      </c>
      <c r="AO635" s="25">
        <f>G635*0.570026776</f>
        <v>0</v>
      </c>
      <c r="AP635" s="25">
        <f>G635*(1-0.570026776)</f>
        <v>0</v>
      </c>
      <c r="AQ635" s="27" t="s">
        <v>58</v>
      </c>
      <c r="AV635" s="25">
        <f t="shared" si="638"/>
        <v>0</v>
      </c>
      <c r="AW635" s="25">
        <f t="shared" si="639"/>
        <v>0</v>
      </c>
      <c r="AX635" s="25">
        <f t="shared" si="640"/>
        <v>0</v>
      </c>
      <c r="AY635" s="27" t="s">
        <v>1835</v>
      </c>
      <c r="AZ635" s="27" t="s">
        <v>305</v>
      </c>
      <c r="BA635" s="11" t="s">
        <v>56</v>
      </c>
      <c r="BC635" s="25">
        <f t="shared" si="641"/>
        <v>0</v>
      </c>
      <c r="BD635" s="25">
        <f t="shared" si="642"/>
        <v>0</v>
      </c>
      <c r="BE635" s="25">
        <v>0</v>
      </c>
      <c r="BF635" s="25">
        <f>635</f>
        <v>635</v>
      </c>
      <c r="BH635" s="25">
        <f t="shared" si="643"/>
        <v>0</v>
      </c>
      <c r="BI635" s="25">
        <f t="shared" si="644"/>
        <v>0</v>
      </c>
      <c r="BJ635" s="25">
        <f t="shared" si="645"/>
        <v>0</v>
      </c>
      <c r="BK635" s="27" t="s">
        <v>57</v>
      </c>
      <c r="BL635" s="25"/>
      <c r="BW635" s="25">
        <v>21</v>
      </c>
      <c r="BX635" s="5" t="s">
        <v>1910</v>
      </c>
    </row>
    <row r="636" spans="1:76" x14ac:dyDescent="0.25">
      <c r="A636" s="2" t="s">
        <v>1911</v>
      </c>
      <c r="B636" s="3" t="s">
        <v>1912</v>
      </c>
      <c r="C636" s="93" t="s">
        <v>1913</v>
      </c>
      <c r="D636" s="94"/>
      <c r="E636" s="3" t="s">
        <v>131</v>
      </c>
      <c r="F636" s="25">
        <v>120</v>
      </c>
      <c r="G636" s="25">
        <v>0</v>
      </c>
      <c r="H636" s="25">
        <f t="shared" si="624"/>
        <v>0</v>
      </c>
      <c r="I636" s="25">
        <f t="shared" si="625"/>
        <v>0</v>
      </c>
      <c r="J636" s="25">
        <f t="shared" si="626"/>
        <v>0</v>
      </c>
      <c r="K636" s="26" t="s">
        <v>53</v>
      </c>
      <c r="Z636" s="25">
        <f t="shared" si="627"/>
        <v>0</v>
      </c>
      <c r="AB636" s="25">
        <f t="shared" si="628"/>
        <v>0</v>
      </c>
      <c r="AC636" s="25">
        <f t="shared" si="629"/>
        <v>0</v>
      </c>
      <c r="AD636" s="25">
        <f t="shared" si="630"/>
        <v>0</v>
      </c>
      <c r="AE636" s="25">
        <f t="shared" si="631"/>
        <v>0</v>
      </c>
      <c r="AF636" s="25">
        <f t="shared" si="632"/>
        <v>0</v>
      </c>
      <c r="AG636" s="25">
        <f t="shared" si="633"/>
        <v>0</v>
      </c>
      <c r="AH636" s="25">
        <f t="shared" si="634"/>
        <v>0</v>
      </c>
      <c r="AI636" s="11" t="s">
        <v>46</v>
      </c>
      <c r="AJ636" s="25">
        <f t="shared" si="635"/>
        <v>0</v>
      </c>
      <c r="AK636" s="25">
        <f t="shared" si="636"/>
        <v>0</v>
      </c>
      <c r="AL636" s="25">
        <f t="shared" si="637"/>
        <v>0</v>
      </c>
      <c r="AN636" s="25">
        <v>21</v>
      </c>
      <c r="AO636" s="25">
        <f>G636*0.569991917</f>
        <v>0</v>
      </c>
      <c r="AP636" s="25">
        <f>G636*(1-0.569991917)</f>
        <v>0</v>
      </c>
      <c r="AQ636" s="27" t="s">
        <v>58</v>
      </c>
      <c r="AV636" s="25">
        <f t="shared" si="638"/>
        <v>0</v>
      </c>
      <c r="AW636" s="25">
        <f t="shared" si="639"/>
        <v>0</v>
      </c>
      <c r="AX636" s="25">
        <f t="shared" si="640"/>
        <v>0</v>
      </c>
      <c r="AY636" s="27" t="s">
        <v>1835</v>
      </c>
      <c r="AZ636" s="27" t="s">
        <v>305</v>
      </c>
      <c r="BA636" s="11" t="s">
        <v>56</v>
      </c>
      <c r="BC636" s="25">
        <f t="shared" si="641"/>
        <v>0</v>
      </c>
      <c r="BD636" s="25">
        <f t="shared" si="642"/>
        <v>0</v>
      </c>
      <c r="BE636" s="25">
        <v>0</v>
      </c>
      <c r="BF636" s="25">
        <f>636</f>
        <v>636</v>
      </c>
      <c r="BH636" s="25">
        <f t="shared" si="643"/>
        <v>0</v>
      </c>
      <c r="BI636" s="25">
        <f t="shared" si="644"/>
        <v>0</v>
      </c>
      <c r="BJ636" s="25">
        <f t="shared" si="645"/>
        <v>0</v>
      </c>
      <c r="BK636" s="27" t="s">
        <v>57</v>
      </c>
      <c r="BL636" s="25"/>
      <c r="BW636" s="25">
        <v>21</v>
      </c>
      <c r="BX636" s="5" t="s">
        <v>1913</v>
      </c>
    </row>
    <row r="637" spans="1:76" x14ac:dyDescent="0.25">
      <c r="A637" s="2" t="s">
        <v>1914</v>
      </c>
      <c r="B637" s="3" t="s">
        <v>1915</v>
      </c>
      <c r="C637" s="93" t="s">
        <v>1916</v>
      </c>
      <c r="D637" s="94"/>
      <c r="E637" s="3" t="s">
        <v>131</v>
      </c>
      <c r="F637" s="25">
        <v>60</v>
      </c>
      <c r="G637" s="25">
        <v>0</v>
      </c>
      <c r="H637" s="25">
        <f t="shared" si="624"/>
        <v>0</v>
      </c>
      <c r="I637" s="25">
        <f t="shared" si="625"/>
        <v>0</v>
      </c>
      <c r="J637" s="25">
        <f t="shared" si="626"/>
        <v>0</v>
      </c>
      <c r="K637" s="26" t="s">
        <v>53</v>
      </c>
      <c r="Z637" s="25">
        <f t="shared" si="627"/>
        <v>0</v>
      </c>
      <c r="AB637" s="25">
        <f t="shared" si="628"/>
        <v>0</v>
      </c>
      <c r="AC637" s="25">
        <f t="shared" si="629"/>
        <v>0</v>
      </c>
      <c r="AD637" s="25">
        <f t="shared" si="630"/>
        <v>0</v>
      </c>
      <c r="AE637" s="25">
        <f t="shared" si="631"/>
        <v>0</v>
      </c>
      <c r="AF637" s="25">
        <f t="shared" si="632"/>
        <v>0</v>
      </c>
      <c r="AG637" s="25">
        <f t="shared" si="633"/>
        <v>0</v>
      </c>
      <c r="AH637" s="25">
        <f t="shared" si="634"/>
        <v>0</v>
      </c>
      <c r="AI637" s="11" t="s">
        <v>46</v>
      </c>
      <c r="AJ637" s="25">
        <f t="shared" si="635"/>
        <v>0</v>
      </c>
      <c r="AK637" s="25">
        <f t="shared" si="636"/>
        <v>0</v>
      </c>
      <c r="AL637" s="25">
        <f t="shared" si="637"/>
        <v>0</v>
      </c>
      <c r="AN637" s="25">
        <v>21</v>
      </c>
      <c r="AO637" s="25">
        <f>G637*0.570005645</f>
        <v>0</v>
      </c>
      <c r="AP637" s="25">
        <f>G637*(1-0.570005645)</f>
        <v>0</v>
      </c>
      <c r="AQ637" s="27" t="s">
        <v>58</v>
      </c>
      <c r="AV637" s="25">
        <f t="shared" si="638"/>
        <v>0</v>
      </c>
      <c r="AW637" s="25">
        <f t="shared" si="639"/>
        <v>0</v>
      </c>
      <c r="AX637" s="25">
        <f t="shared" si="640"/>
        <v>0</v>
      </c>
      <c r="AY637" s="27" t="s">
        <v>1835</v>
      </c>
      <c r="AZ637" s="27" t="s">
        <v>305</v>
      </c>
      <c r="BA637" s="11" t="s">
        <v>56</v>
      </c>
      <c r="BC637" s="25">
        <f t="shared" si="641"/>
        <v>0</v>
      </c>
      <c r="BD637" s="25">
        <f t="shared" si="642"/>
        <v>0</v>
      </c>
      <c r="BE637" s="25">
        <v>0</v>
      </c>
      <c r="BF637" s="25">
        <f>637</f>
        <v>637</v>
      </c>
      <c r="BH637" s="25">
        <f t="shared" si="643"/>
        <v>0</v>
      </c>
      <c r="BI637" s="25">
        <f t="shared" si="644"/>
        <v>0</v>
      </c>
      <c r="BJ637" s="25">
        <f t="shared" si="645"/>
        <v>0</v>
      </c>
      <c r="BK637" s="27" t="s">
        <v>57</v>
      </c>
      <c r="BL637" s="25"/>
      <c r="BW637" s="25">
        <v>21</v>
      </c>
      <c r="BX637" s="5" t="s">
        <v>1916</v>
      </c>
    </row>
    <row r="638" spans="1:76" x14ac:dyDescent="0.25">
      <c r="A638" s="2" t="s">
        <v>1917</v>
      </c>
      <c r="B638" s="3" t="s">
        <v>1918</v>
      </c>
      <c r="C638" s="93" t="s">
        <v>1919</v>
      </c>
      <c r="D638" s="94"/>
      <c r="E638" s="3" t="s">
        <v>131</v>
      </c>
      <c r="F638" s="25">
        <v>80</v>
      </c>
      <c r="G638" s="25">
        <v>0</v>
      </c>
      <c r="H638" s="25">
        <f t="shared" si="624"/>
        <v>0</v>
      </c>
      <c r="I638" s="25">
        <f t="shared" si="625"/>
        <v>0</v>
      </c>
      <c r="J638" s="25">
        <f t="shared" si="626"/>
        <v>0</v>
      </c>
      <c r="K638" s="26" t="s">
        <v>53</v>
      </c>
      <c r="Z638" s="25">
        <f t="shared" si="627"/>
        <v>0</v>
      </c>
      <c r="AB638" s="25">
        <f t="shared" si="628"/>
        <v>0</v>
      </c>
      <c r="AC638" s="25">
        <f t="shared" si="629"/>
        <v>0</v>
      </c>
      <c r="AD638" s="25">
        <f t="shared" si="630"/>
        <v>0</v>
      </c>
      <c r="AE638" s="25">
        <f t="shared" si="631"/>
        <v>0</v>
      </c>
      <c r="AF638" s="25">
        <f t="shared" si="632"/>
        <v>0</v>
      </c>
      <c r="AG638" s="25">
        <f t="shared" si="633"/>
        <v>0</v>
      </c>
      <c r="AH638" s="25">
        <f t="shared" si="634"/>
        <v>0</v>
      </c>
      <c r="AI638" s="11" t="s">
        <v>46</v>
      </c>
      <c r="AJ638" s="25">
        <f t="shared" si="635"/>
        <v>0</v>
      </c>
      <c r="AK638" s="25">
        <f t="shared" si="636"/>
        <v>0</v>
      </c>
      <c r="AL638" s="25">
        <f t="shared" si="637"/>
        <v>0</v>
      </c>
      <c r="AN638" s="25">
        <v>21</v>
      </c>
      <c r="AO638" s="25">
        <f>G638*0.569984842</f>
        <v>0</v>
      </c>
      <c r="AP638" s="25">
        <f>G638*(1-0.569984842)</f>
        <v>0</v>
      </c>
      <c r="AQ638" s="27" t="s">
        <v>58</v>
      </c>
      <c r="AV638" s="25">
        <f t="shared" si="638"/>
        <v>0</v>
      </c>
      <c r="AW638" s="25">
        <f t="shared" si="639"/>
        <v>0</v>
      </c>
      <c r="AX638" s="25">
        <f t="shared" si="640"/>
        <v>0</v>
      </c>
      <c r="AY638" s="27" t="s">
        <v>1835</v>
      </c>
      <c r="AZ638" s="27" t="s">
        <v>305</v>
      </c>
      <c r="BA638" s="11" t="s">
        <v>56</v>
      </c>
      <c r="BC638" s="25">
        <f t="shared" si="641"/>
        <v>0</v>
      </c>
      <c r="BD638" s="25">
        <f t="shared" si="642"/>
        <v>0</v>
      </c>
      <c r="BE638" s="25">
        <v>0</v>
      </c>
      <c r="BF638" s="25">
        <f>638</f>
        <v>638</v>
      </c>
      <c r="BH638" s="25">
        <f t="shared" si="643"/>
        <v>0</v>
      </c>
      <c r="BI638" s="25">
        <f t="shared" si="644"/>
        <v>0</v>
      </c>
      <c r="BJ638" s="25">
        <f t="shared" si="645"/>
        <v>0</v>
      </c>
      <c r="BK638" s="27" t="s">
        <v>57</v>
      </c>
      <c r="BL638" s="25"/>
      <c r="BW638" s="25">
        <v>21</v>
      </c>
      <c r="BX638" s="5" t="s">
        <v>1919</v>
      </c>
    </row>
    <row r="639" spans="1:76" x14ac:dyDescent="0.25">
      <c r="A639" s="2" t="s">
        <v>1920</v>
      </c>
      <c r="B639" s="3" t="s">
        <v>1921</v>
      </c>
      <c r="C639" s="93" t="s">
        <v>1922</v>
      </c>
      <c r="D639" s="94"/>
      <c r="E639" s="3" t="s">
        <v>131</v>
      </c>
      <c r="F639" s="25">
        <v>10</v>
      </c>
      <c r="G639" s="25">
        <v>0</v>
      </c>
      <c r="H639" s="25">
        <f t="shared" si="624"/>
        <v>0</v>
      </c>
      <c r="I639" s="25">
        <f t="shared" si="625"/>
        <v>0</v>
      </c>
      <c r="J639" s="25">
        <f t="shared" si="626"/>
        <v>0</v>
      </c>
      <c r="K639" s="26" t="s">
        <v>53</v>
      </c>
      <c r="Z639" s="25">
        <f t="shared" si="627"/>
        <v>0</v>
      </c>
      <c r="AB639" s="25">
        <f t="shared" si="628"/>
        <v>0</v>
      </c>
      <c r="AC639" s="25">
        <f t="shared" si="629"/>
        <v>0</v>
      </c>
      <c r="AD639" s="25">
        <f t="shared" si="630"/>
        <v>0</v>
      </c>
      <c r="AE639" s="25">
        <f t="shared" si="631"/>
        <v>0</v>
      </c>
      <c r="AF639" s="25">
        <f t="shared" si="632"/>
        <v>0</v>
      </c>
      <c r="AG639" s="25">
        <f t="shared" si="633"/>
        <v>0</v>
      </c>
      <c r="AH639" s="25">
        <f t="shared" si="634"/>
        <v>0</v>
      </c>
      <c r="AI639" s="11" t="s">
        <v>46</v>
      </c>
      <c r="AJ639" s="25">
        <f t="shared" si="635"/>
        <v>0</v>
      </c>
      <c r="AK639" s="25">
        <f t="shared" si="636"/>
        <v>0</v>
      </c>
      <c r="AL639" s="25">
        <f t="shared" si="637"/>
        <v>0</v>
      </c>
      <c r="AN639" s="25">
        <v>21</v>
      </c>
      <c r="AO639" s="25">
        <f>G639*0.570027084</f>
        <v>0</v>
      </c>
      <c r="AP639" s="25">
        <f>G639*(1-0.570027084)</f>
        <v>0</v>
      </c>
      <c r="AQ639" s="27" t="s">
        <v>58</v>
      </c>
      <c r="AV639" s="25">
        <f t="shared" si="638"/>
        <v>0</v>
      </c>
      <c r="AW639" s="25">
        <f t="shared" si="639"/>
        <v>0</v>
      </c>
      <c r="AX639" s="25">
        <f t="shared" si="640"/>
        <v>0</v>
      </c>
      <c r="AY639" s="27" t="s">
        <v>1835</v>
      </c>
      <c r="AZ639" s="27" t="s">
        <v>305</v>
      </c>
      <c r="BA639" s="11" t="s">
        <v>56</v>
      </c>
      <c r="BC639" s="25">
        <f t="shared" si="641"/>
        <v>0</v>
      </c>
      <c r="BD639" s="25">
        <f t="shared" si="642"/>
        <v>0</v>
      </c>
      <c r="BE639" s="25">
        <v>0</v>
      </c>
      <c r="BF639" s="25">
        <f>639</f>
        <v>639</v>
      </c>
      <c r="BH639" s="25">
        <f t="shared" si="643"/>
        <v>0</v>
      </c>
      <c r="BI639" s="25">
        <f t="shared" si="644"/>
        <v>0</v>
      </c>
      <c r="BJ639" s="25">
        <f t="shared" si="645"/>
        <v>0</v>
      </c>
      <c r="BK639" s="27" t="s">
        <v>57</v>
      </c>
      <c r="BL639" s="25"/>
      <c r="BW639" s="25">
        <v>21</v>
      </c>
      <c r="BX639" s="5" t="s">
        <v>1922</v>
      </c>
    </row>
    <row r="640" spans="1:76" x14ac:dyDescent="0.25">
      <c r="A640" s="2" t="s">
        <v>1923</v>
      </c>
      <c r="B640" s="3" t="s">
        <v>1924</v>
      </c>
      <c r="C640" s="93" t="s">
        <v>1925</v>
      </c>
      <c r="D640" s="94"/>
      <c r="E640" s="3" t="s">
        <v>131</v>
      </c>
      <c r="F640" s="25">
        <v>30</v>
      </c>
      <c r="G640" s="25">
        <v>0</v>
      </c>
      <c r="H640" s="25">
        <f t="shared" si="624"/>
        <v>0</v>
      </c>
      <c r="I640" s="25">
        <f t="shared" si="625"/>
        <v>0</v>
      </c>
      <c r="J640" s="25">
        <f t="shared" si="626"/>
        <v>0</v>
      </c>
      <c r="K640" s="26" t="s">
        <v>53</v>
      </c>
      <c r="Z640" s="25">
        <f t="shared" si="627"/>
        <v>0</v>
      </c>
      <c r="AB640" s="25">
        <f t="shared" si="628"/>
        <v>0</v>
      </c>
      <c r="AC640" s="25">
        <f t="shared" si="629"/>
        <v>0</v>
      </c>
      <c r="AD640" s="25">
        <f t="shared" si="630"/>
        <v>0</v>
      </c>
      <c r="AE640" s="25">
        <f t="shared" si="631"/>
        <v>0</v>
      </c>
      <c r="AF640" s="25">
        <f t="shared" si="632"/>
        <v>0</v>
      </c>
      <c r="AG640" s="25">
        <f t="shared" si="633"/>
        <v>0</v>
      </c>
      <c r="AH640" s="25">
        <f t="shared" si="634"/>
        <v>0</v>
      </c>
      <c r="AI640" s="11" t="s">
        <v>46</v>
      </c>
      <c r="AJ640" s="25">
        <f t="shared" si="635"/>
        <v>0</v>
      </c>
      <c r="AK640" s="25">
        <f t="shared" si="636"/>
        <v>0</v>
      </c>
      <c r="AL640" s="25">
        <f t="shared" si="637"/>
        <v>0</v>
      </c>
      <c r="AN640" s="25">
        <v>21</v>
      </c>
      <c r="AO640" s="25">
        <f>G640*0.570034772</f>
        <v>0</v>
      </c>
      <c r="AP640" s="25">
        <f>G640*(1-0.570034772)</f>
        <v>0</v>
      </c>
      <c r="AQ640" s="27" t="s">
        <v>58</v>
      </c>
      <c r="AV640" s="25">
        <f t="shared" si="638"/>
        <v>0</v>
      </c>
      <c r="AW640" s="25">
        <f t="shared" si="639"/>
        <v>0</v>
      </c>
      <c r="AX640" s="25">
        <f t="shared" si="640"/>
        <v>0</v>
      </c>
      <c r="AY640" s="27" t="s">
        <v>1835</v>
      </c>
      <c r="AZ640" s="27" t="s">
        <v>305</v>
      </c>
      <c r="BA640" s="11" t="s">
        <v>56</v>
      </c>
      <c r="BC640" s="25">
        <f t="shared" si="641"/>
        <v>0</v>
      </c>
      <c r="BD640" s="25">
        <f t="shared" si="642"/>
        <v>0</v>
      </c>
      <c r="BE640" s="25">
        <v>0</v>
      </c>
      <c r="BF640" s="25">
        <f>640</f>
        <v>640</v>
      </c>
      <c r="BH640" s="25">
        <f t="shared" si="643"/>
        <v>0</v>
      </c>
      <c r="BI640" s="25">
        <f t="shared" si="644"/>
        <v>0</v>
      </c>
      <c r="BJ640" s="25">
        <f t="shared" si="645"/>
        <v>0</v>
      </c>
      <c r="BK640" s="27" t="s">
        <v>57</v>
      </c>
      <c r="BL640" s="25"/>
      <c r="BW640" s="25">
        <v>21</v>
      </c>
      <c r="BX640" s="5" t="s">
        <v>1925</v>
      </c>
    </row>
    <row r="641" spans="1:76" x14ac:dyDescent="0.25">
      <c r="A641" s="2" t="s">
        <v>1926</v>
      </c>
      <c r="B641" s="3" t="s">
        <v>1927</v>
      </c>
      <c r="C641" s="93" t="s">
        <v>1928</v>
      </c>
      <c r="D641" s="94"/>
      <c r="E641" s="3" t="s">
        <v>52</v>
      </c>
      <c r="F641" s="25">
        <v>331</v>
      </c>
      <c r="G641" s="25">
        <v>0</v>
      </c>
      <c r="H641" s="25">
        <f t="shared" si="624"/>
        <v>0</v>
      </c>
      <c r="I641" s="25">
        <f t="shared" si="625"/>
        <v>0</v>
      </c>
      <c r="J641" s="25">
        <f t="shared" si="626"/>
        <v>0</v>
      </c>
      <c r="K641" s="26" t="s">
        <v>53</v>
      </c>
      <c r="Z641" s="25">
        <f t="shared" si="627"/>
        <v>0</v>
      </c>
      <c r="AB641" s="25">
        <f t="shared" si="628"/>
        <v>0</v>
      </c>
      <c r="AC641" s="25">
        <f t="shared" si="629"/>
        <v>0</v>
      </c>
      <c r="AD641" s="25">
        <f t="shared" si="630"/>
        <v>0</v>
      </c>
      <c r="AE641" s="25">
        <f t="shared" si="631"/>
        <v>0</v>
      </c>
      <c r="AF641" s="25">
        <f t="shared" si="632"/>
        <v>0</v>
      </c>
      <c r="AG641" s="25">
        <f t="shared" si="633"/>
        <v>0</v>
      </c>
      <c r="AH641" s="25">
        <f t="shared" si="634"/>
        <v>0</v>
      </c>
      <c r="AI641" s="11" t="s">
        <v>46</v>
      </c>
      <c r="AJ641" s="25">
        <f t="shared" si="635"/>
        <v>0</v>
      </c>
      <c r="AK641" s="25">
        <f t="shared" si="636"/>
        <v>0</v>
      </c>
      <c r="AL641" s="25">
        <f t="shared" si="637"/>
        <v>0</v>
      </c>
      <c r="AN641" s="25">
        <v>21</v>
      </c>
      <c r="AO641" s="25">
        <f>G641*0.569996701</f>
        <v>0</v>
      </c>
      <c r="AP641" s="25">
        <f>G641*(1-0.569996701)</f>
        <v>0</v>
      </c>
      <c r="AQ641" s="27" t="s">
        <v>58</v>
      </c>
      <c r="AV641" s="25">
        <f t="shared" si="638"/>
        <v>0</v>
      </c>
      <c r="AW641" s="25">
        <f t="shared" si="639"/>
        <v>0</v>
      </c>
      <c r="AX641" s="25">
        <f t="shared" si="640"/>
        <v>0</v>
      </c>
      <c r="AY641" s="27" t="s">
        <v>1835</v>
      </c>
      <c r="AZ641" s="27" t="s">
        <v>305</v>
      </c>
      <c r="BA641" s="11" t="s">
        <v>56</v>
      </c>
      <c r="BC641" s="25">
        <f t="shared" si="641"/>
        <v>0</v>
      </c>
      <c r="BD641" s="25">
        <f t="shared" si="642"/>
        <v>0</v>
      </c>
      <c r="BE641" s="25">
        <v>0</v>
      </c>
      <c r="BF641" s="25">
        <f>641</f>
        <v>641</v>
      </c>
      <c r="BH641" s="25">
        <f t="shared" si="643"/>
        <v>0</v>
      </c>
      <c r="BI641" s="25">
        <f t="shared" si="644"/>
        <v>0</v>
      </c>
      <c r="BJ641" s="25">
        <f t="shared" si="645"/>
        <v>0</v>
      </c>
      <c r="BK641" s="27" t="s">
        <v>57</v>
      </c>
      <c r="BL641" s="25"/>
      <c r="BW641" s="25">
        <v>21</v>
      </c>
      <c r="BX641" s="5" t="s">
        <v>1928</v>
      </c>
    </row>
    <row r="642" spans="1:76" x14ac:dyDescent="0.25">
      <c r="A642" s="2" t="s">
        <v>1929</v>
      </c>
      <c r="B642" s="3" t="s">
        <v>1930</v>
      </c>
      <c r="C642" s="93" t="s">
        <v>1931</v>
      </c>
      <c r="D642" s="94"/>
      <c r="E642" s="3" t="s">
        <v>52</v>
      </c>
      <c r="F642" s="25">
        <v>26</v>
      </c>
      <c r="G642" s="25">
        <v>0</v>
      </c>
      <c r="H642" s="25">
        <f t="shared" ref="H642:H673" si="646">ROUND(F642*AO642,2)</f>
        <v>0</v>
      </c>
      <c r="I642" s="25">
        <f t="shared" ref="I642:I673" si="647">ROUND(F642*AP642,2)</f>
        <v>0</v>
      </c>
      <c r="J642" s="25">
        <f t="shared" ref="J642:J673" si="648">ROUND(F642*G642,1)</f>
        <v>0</v>
      </c>
      <c r="K642" s="26" t="s">
        <v>53</v>
      </c>
      <c r="Z642" s="25">
        <f t="shared" ref="Z642:Z673" si="649">ROUND(IF(AQ642="5",BJ642,0),2)</f>
        <v>0</v>
      </c>
      <c r="AB642" s="25">
        <f t="shared" ref="AB642:AB673" si="650">ROUND(IF(AQ642="1",BH642,0),2)</f>
        <v>0</v>
      </c>
      <c r="AC642" s="25">
        <f t="shared" ref="AC642:AC673" si="651">ROUND(IF(AQ642="1",BI642,0),2)</f>
        <v>0</v>
      </c>
      <c r="AD642" s="25">
        <f t="shared" ref="AD642:AD673" si="652">ROUND(IF(AQ642="7",BH642,0),2)</f>
        <v>0</v>
      </c>
      <c r="AE642" s="25">
        <f t="shared" ref="AE642:AE673" si="653">ROUND(IF(AQ642="7",BI642,0),2)</f>
        <v>0</v>
      </c>
      <c r="AF642" s="25">
        <f t="shared" ref="AF642:AF673" si="654">ROUND(IF(AQ642="2",BH642,0),2)</f>
        <v>0</v>
      </c>
      <c r="AG642" s="25">
        <f t="shared" ref="AG642:AG673" si="655">ROUND(IF(AQ642="2",BI642,0),2)</f>
        <v>0</v>
      </c>
      <c r="AH642" s="25">
        <f t="shared" ref="AH642:AH673" si="656">ROUND(IF(AQ642="0",BJ642,0),2)</f>
        <v>0</v>
      </c>
      <c r="AI642" s="11" t="s">
        <v>46</v>
      </c>
      <c r="AJ642" s="25">
        <f t="shared" ref="AJ642:AJ673" si="657">IF(AN642=0,J642,0)</f>
        <v>0</v>
      </c>
      <c r="AK642" s="25">
        <f t="shared" ref="AK642:AK673" si="658">IF(AN642=12,J642,0)</f>
        <v>0</v>
      </c>
      <c r="AL642" s="25">
        <f t="shared" ref="AL642:AL673" si="659">IF(AN642=21,J642,0)</f>
        <v>0</v>
      </c>
      <c r="AN642" s="25">
        <v>21</v>
      </c>
      <c r="AO642" s="25">
        <f>G642*0.569950289</f>
        <v>0</v>
      </c>
      <c r="AP642" s="25">
        <f>G642*(1-0.569950289)</f>
        <v>0</v>
      </c>
      <c r="AQ642" s="27" t="s">
        <v>58</v>
      </c>
      <c r="AV642" s="25">
        <f t="shared" ref="AV642:AV673" si="660">ROUND(AW642+AX642,2)</f>
        <v>0</v>
      </c>
      <c r="AW642" s="25">
        <f t="shared" ref="AW642:AW673" si="661">ROUND(F642*AO642,2)</f>
        <v>0</v>
      </c>
      <c r="AX642" s="25">
        <f t="shared" ref="AX642:AX673" si="662">ROUND(F642*AP642,2)</f>
        <v>0</v>
      </c>
      <c r="AY642" s="27" t="s">
        <v>1835</v>
      </c>
      <c r="AZ642" s="27" t="s">
        <v>305</v>
      </c>
      <c r="BA642" s="11" t="s">
        <v>56</v>
      </c>
      <c r="BC642" s="25">
        <f t="shared" ref="BC642:BC673" si="663">AW642+AX642</f>
        <v>0</v>
      </c>
      <c r="BD642" s="25">
        <f t="shared" ref="BD642:BD673" si="664">G642/(100-BE642)*100</f>
        <v>0</v>
      </c>
      <c r="BE642" s="25">
        <v>0</v>
      </c>
      <c r="BF642" s="25">
        <f>642</f>
        <v>642</v>
      </c>
      <c r="BH642" s="25">
        <f t="shared" ref="BH642:BH673" si="665">F642*AO642</f>
        <v>0</v>
      </c>
      <c r="BI642" s="25">
        <f t="shared" ref="BI642:BI673" si="666">F642*AP642</f>
        <v>0</v>
      </c>
      <c r="BJ642" s="25">
        <f t="shared" ref="BJ642:BJ673" si="667">F642*G642</f>
        <v>0</v>
      </c>
      <c r="BK642" s="27" t="s">
        <v>57</v>
      </c>
      <c r="BL642" s="25"/>
      <c r="BW642" s="25">
        <v>21</v>
      </c>
      <c r="BX642" s="5" t="s">
        <v>1931</v>
      </c>
    </row>
    <row r="643" spans="1:76" x14ac:dyDescent="0.25">
      <c r="A643" s="2" t="s">
        <v>1932</v>
      </c>
      <c r="B643" s="3" t="s">
        <v>1933</v>
      </c>
      <c r="C643" s="93" t="s">
        <v>1934</v>
      </c>
      <c r="D643" s="94"/>
      <c r="E643" s="3" t="s">
        <v>52</v>
      </c>
      <c r="F643" s="25">
        <v>22</v>
      </c>
      <c r="G643" s="25">
        <v>0</v>
      </c>
      <c r="H643" s="25">
        <f t="shared" si="646"/>
        <v>0</v>
      </c>
      <c r="I643" s="25">
        <f t="shared" si="647"/>
        <v>0</v>
      </c>
      <c r="J643" s="25">
        <f t="shared" si="648"/>
        <v>0</v>
      </c>
      <c r="K643" s="26" t="s">
        <v>53</v>
      </c>
      <c r="Z643" s="25">
        <f t="shared" si="649"/>
        <v>0</v>
      </c>
      <c r="AB643" s="25">
        <f t="shared" si="650"/>
        <v>0</v>
      </c>
      <c r="AC643" s="25">
        <f t="shared" si="651"/>
        <v>0</v>
      </c>
      <c r="AD643" s="25">
        <f t="shared" si="652"/>
        <v>0</v>
      </c>
      <c r="AE643" s="25">
        <f t="shared" si="653"/>
        <v>0</v>
      </c>
      <c r="AF643" s="25">
        <f t="shared" si="654"/>
        <v>0</v>
      </c>
      <c r="AG643" s="25">
        <f t="shared" si="655"/>
        <v>0</v>
      </c>
      <c r="AH643" s="25">
        <f t="shared" si="656"/>
        <v>0</v>
      </c>
      <c r="AI643" s="11" t="s">
        <v>46</v>
      </c>
      <c r="AJ643" s="25">
        <f t="shared" si="657"/>
        <v>0</v>
      </c>
      <c r="AK643" s="25">
        <f t="shared" si="658"/>
        <v>0</v>
      </c>
      <c r="AL643" s="25">
        <f t="shared" si="659"/>
        <v>0</v>
      </c>
      <c r="AN643" s="25">
        <v>21</v>
      </c>
      <c r="AO643" s="25">
        <f>G643*0.570033103</f>
        <v>0</v>
      </c>
      <c r="AP643" s="25">
        <f>G643*(1-0.570033103)</f>
        <v>0</v>
      </c>
      <c r="AQ643" s="27" t="s">
        <v>58</v>
      </c>
      <c r="AV643" s="25">
        <f t="shared" si="660"/>
        <v>0</v>
      </c>
      <c r="AW643" s="25">
        <f t="shared" si="661"/>
        <v>0</v>
      </c>
      <c r="AX643" s="25">
        <f t="shared" si="662"/>
        <v>0</v>
      </c>
      <c r="AY643" s="27" t="s">
        <v>1835</v>
      </c>
      <c r="AZ643" s="27" t="s">
        <v>305</v>
      </c>
      <c r="BA643" s="11" t="s">
        <v>56</v>
      </c>
      <c r="BC643" s="25">
        <f t="shared" si="663"/>
        <v>0</v>
      </c>
      <c r="BD643" s="25">
        <f t="shared" si="664"/>
        <v>0</v>
      </c>
      <c r="BE643" s="25">
        <v>0</v>
      </c>
      <c r="BF643" s="25">
        <f>643</f>
        <v>643</v>
      </c>
      <c r="BH643" s="25">
        <f t="shared" si="665"/>
        <v>0</v>
      </c>
      <c r="BI643" s="25">
        <f t="shared" si="666"/>
        <v>0</v>
      </c>
      <c r="BJ643" s="25">
        <f t="shared" si="667"/>
        <v>0</v>
      </c>
      <c r="BK643" s="27" t="s">
        <v>57</v>
      </c>
      <c r="BL643" s="25"/>
      <c r="BW643" s="25">
        <v>21</v>
      </c>
      <c r="BX643" s="5" t="s">
        <v>1934</v>
      </c>
    </row>
    <row r="644" spans="1:76" x14ac:dyDescent="0.25">
      <c r="A644" s="2" t="s">
        <v>1935</v>
      </c>
      <c r="B644" s="3" t="s">
        <v>1936</v>
      </c>
      <c r="C644" s="93" t="s">
        <v>1937</v>
      </c>
      <c r="D644" s="94"/>
      <c r="E644" s="3" t="s">
        <v>52</v>
      </c>
      <c r="F644" s="25">
        <v>2</v>
      </c>
      <c r="G644" s="25">
        <v>0</v>
      </c>
      <c r="H644" s="25">
        <f t="shared" si="646"/>
        <v>0</v>
      </c>
      <c r="I644" s="25">
        <f t="shared" si="647"/>
        <v>0</v>
      </c>
      <c r="J644" s="25">
        <f t="shared" si="648"/>
        <v>0</v>
      </c>
      <c r="K644" s="26" t="s">
        <v>53</v>
      </c>
      <c r="Z644" s="25">
        <f t="shared" si="649"/>
        <v>0</v>
      </c>
      <c r="AB644" s="25">
        <f t="shared" si="650"/>
        <v>0</v>
      </c>
      <c r="AC644" s="25">
        <f t="shared" si="651"/>
        <v>0</v>
      </c>
      <c r="AD644" s="25">
        <f t="shared" si="652"/>
        <v>0</v>
      </c>
      <c r="AE644" s="25">
        <f t="shared" si="653"/>
        <v>0</v>
      </c>
      <c r="AF644" s="25">
        <f t="shared" si="654"/>
        <v>0</v>
      </c>
      <c r="AG644" s="25">
        <f t="shared" si="655"/>
        <v>0</v>
      </c>
      <c r="AH644" s="25">
        <f t="shared" si="656"/>
        <v>0</v>
      </c>
      <c r="AI644" s="11" t="s">
        <v>46</v>
      </c>
      <c r="AJ644" s="25">
        <f t="shared" si="657"/>
        <v>0</v>
      </c>
      <c r="AK644" s="25">
        <f t="shared" si="658"/>
        <v>0</v>
      </c>
      <c r="AL644" s="25">
        <f t="shared" si="659"/>
        <v>0</v>
      </c>
      <c r="AN644" s="25">
        <v>21</v>
      </c>
      <c r="AO644" s="25">
        <f>G644*0.56998376</f>
        <v>0</v>
      </c>
      <c r="AP644" s="25">
        <f>G644*(1-0.56998376)</f>
        <v>0</v>
      </c>
      <c r="AQ644" s="27" t="s">
        <v>58</v>
      </c>
      <c r="AV644" s="25">
        <f t="shared" si="660"/>
        <v>0</v>
      </c>
      <c r="AW644" s="25">
        <f t="shared" si="661"/>
        <v>0</v>
      </c>
      <c r="AX644" s="25">
        <f t="shared" si="662"/>
        <v>0</v>
      </c>
      <c r="AY644" s="27" t="s">
        <v>1835</v>
      </c>
      <c r="AZ644" s="27" t="s">
        <v>305</v>
      </c>
      <c r="BA644" s="11" t="s">
        <v>56</v>
      </c>
      <c r="BC644" s="25">
        <f t="shared" si="663"/>
        <v>0</v>
      </c>
      <c r="BD644" s="25">
        <f t="shared" si="664"/>
        <v>0</v>
      </c>
      <c r="BE644" s="25">
        <v>0</v>
      </c>
      <c r="BF644" s="25">
        <f>644</f>
        <v>644</v>
      </c>
      <c r="BH644" s="25">
        <f t="shared" si="665"/>
        <v>0</v>
      </c>
      <c r="BI644" s="25">
        <f t="shared" si="666"/>
        <v>0</v>
      </c>
      <c r="BJ644" s="25">
        <f t="shared" si="667"/>
        <v>0</v>
      </c>
      <c r="BK644" s="27" t="s">
        <v>57</v>
      </c>
      <c r="BL644" s="25"/>
      <c r="BW644" s="25">
        <v>21</v>
      </c>
      <c r="BX644" s="5" t="s">
        <v>1937</v>
      </c>
    </row>
    <row r="645" spans="1:76" x14ac:dyDescent="0.25">
      <c r="A645" s="2" t="s">
        <v>1938</v>
      </c>
      <c r="B645" s="3" t="s">
        <v>1939</v>
      </c>
      <c r="C645" s="93" t="s">
        <v>1940</v>
      </c>
      <c r="D645" s="94"/>
      <c r="E645" s="3" t="s">
        <v>52</v>
      </c>
      <c r="F645" s="25">
        <v>29</v>
      </c>
      <c r="G645" s="25">
        <v>0</v>
      </c>
      <c r="H645" s="25">
        <f t="shared" si="646"/>
        <v>0</v>
      </c>
      <c r="I645" s="25">
        <f t="shared" si="647"/>
        <v>0</v>
      </c>
      <c r="J645" s="25">
        <f t="shared" si="648"/>
        <v>0</v>
      </c>
      <c r="K645" s="26" t="s">
        <v>53</v>
      </c>
      <c r="Z645" s="25">
        <f t="shared" si="649"/>
        <v>0</v>
      </c>
      <c r="AB645" s="25">
        <f t="shared" si="650"/>
        <v>0</v>
      </c>
      <c r="AC645" s="25">
        <f t="shared" si="651"/>
        <v>0</v>
      </c>
      <c r="AD645" s="25">
        <f t="shared" si="652"/>
        <v>0</v>
      </c>
      <c r="AE645" s="25">
        <f t="shared" si="653"/>
        <v>0</v>
      </c>
      <c r="AF645" s="25">
        <f t="shared" si="654"/>
        <v>0</v>
      </c>
      <c r="AG645" s="25">
        <f t="shared" si="655"/>
        <v>0</v>
      </c>
      <c r="AH645" s="25">
        <f t="shared" si="656"/>
        <v>0</v>
      </c>
      <c r="AI645" s="11" t="s">
        <v>46</v>
      </c>
      <c r="AJ645" s="25">
        <f t="shared" si="657"/>
        <v>0</v>
      </c>
      <c r="AK645" s="25">
        <f t="shared" si="658"/>
        <v>0</v>
      </c>
      <c r="AL645" s="25">
        <f t="shared" si="659"/>
        <v>0</v>
      </c>
      <c r="AN645" s="25">
        <v>21</v>
      </c>
      <c r="AO645" s="25">
        <f>G645*0.569983499</f>
        <v>0</v>
      </c>
      <c r="AP645" s="25">
        <f>G645*(1-0.569983499)</f>
        <v>0</v>
      </c>
      <c r="AQ645" s="27" t="s">
        <v>58</v>
      </c>
      <c r="AV645" s="25">
        <f t="shared" si="660"/>
        <v>0</v>
      </c>
      <c r="AW645" s="25">
        <f t="shared" si="661"/>
        <v>0</v>
      </c>
      <c r="AX645" s="25">
        <f t="shared" si="662"/>
        <v>0</v>
      </c>
      <c r="AY645" s="27" t="s">
        <v>1835</v>
      </c>
      <c r="AZ645" s="27" t="s">
        <v>305</v>
      </c>
      <c r="BA645" s="11" t="s">
        <v>56</v>
      </c>
      <c r="BC645" s="25">
        <f t="shared" si="663"/>
        <v>0</v>
      </c>
      <c r="BD645" s="25">
        <f t="shared" si="664"/>
        <v>0</v>
      </c>
      <c r="BE645" s="25">
        <v>0</v>
      </c>
      <c r="BF645" s="25">
        <f>645</f>
        <v>645</v>
      </c>
      <c r="BH645" s="25">
        <f t="shared" si="665"/>
        <v>0</v>
      </c>
      <c r="BI645" s="25">
        <f t="shared" si="666"/>
        <v>0</v>
      </c>
      <c r="BJ645" s="25">
        <f t="shared" si="667"/>
        <v>0</v>
      </c>
      <c r="BK645" s="27" t="s">
        <v>57</v>
      </c>
      <c r="BL645" s="25"/>
      <c r="BW645" s="25">
        <v>21</v>
      </c>
      <c r="BX645" s="5" t="s">
        <v>1940</v>
      </c>
    </row>
    <row r="646" spans="1:76" ht="25.5" x14ac:dyDescent="0.25">
      <c r="A646" s="2" t="s">
        <v>1941</v>
      </c>
      <c r="B646" s="3" t="s">
        <v>1942</v>
      </c>
      <c r="C646" s="93" t="s">
        <v>1943</v>
      </c>
      <c r="D646" s="94"/>
      <c r="E646" s="3" t="s">
        <v>52</v>
      </c>
      <c r="F646" s="25">
        <v>2</v>
      </c>
      <c r="G646" s="25">
        <v>0</v>
      </c>
      <c r="H646" s="25">
        <f t="shared" si="646"/>
        <v>0</v>
      </c>
      <c r="I646" s="25">
        <f t="shared" si="647"/>
        <v>0</v>
      </c>
      <c r="J646" s="25">
        <f t="shared" si="648"/>
        <v>0</v>
      </c>
      <c r="K646" s="26" t="s">
        <v>53</v>
      </c>
      <c r="Z646" s="25">
        <f t="shared" si="649"/>
        <v>0</v>
      </c>
      <c r="AB646" s="25">
        <f t="shared" si="650"/>
        <v>0</v>
      </c>
      <c r="AC646" s="25">
        <f t="shared" si="651"/>
        <v>0</v>
      </c>
      <c r="AD646" s="25">
        <f t="shared" si="652"/>
        <v>0</v>
      </c>
      <c r="AE646" s="25">
        <f t="shared" si="653"/>
        <v>0</v>
      </c>
      <c r="AF646" s="25">
        <f t="shared" si="654"/>
        <v>0</v>
      </c>
      <c r="AG646" s="25">
        <f t="shared" si="655"/>
        <v>0</v>
      </c>
      <c r="AH646" s="25">
        <f t="shared" si="656"/>
        <v>0</v>
      </c>
      <c r="AI646" s="11" t="s">
        <v>46</v>
      </c>
      <c r="AJ646" s="25">
        <f t="shared" si="657"/>
        <v>0</v>
      </c>
      <c r="AK646" s="25">
        <f t="shared" si="658"/>
        <v>0</v>
      </c>
      <c r="AL646" s="25">
        <f t="shared" si="659"/>
        <v>0</v>
      </c>
      <c r="AN646" s="25">
        <v>21</v>
      </c>
      <c r="AO646" s="25">
        <f>G646*0.569974899</f>
        <v>0</v>
      </c>
      <c r="AP646" s="25">
        <f>G646*(1-0.569974899)</f>
        <v>0</v>
      </c>
      <c r="AQ646" s="27" t="s">
        <v>58</v>
      </c>
      <c r="AV646" s="25">
        <f t="shared" si="660"/>
        <v>0</v>
      </c>
      <c r="AW646" s="25">
        <f t="shared" si="661"/>
        <v>0</v>
      </c>
      <c r="AX646" s="25">
        <f t="shared" si="662"/>
        <v>0</v>
      </c>
      <c r="AY646" s="27" t="s">
        <v>1835</v>
      </c>
      <c r="AZ646" s="27" t="s">
        <v>305</v>
      </c>
      <c r="BA646" s="11" t="s">
        <v>56</v>
      </c>
      <c r="BC646" s="25">
        <f t="shared" si="663"/>
        <v>0</v>
      </c>
      <c r="BD646" s="25">
        <f t="shared" si="664"/>
        <v>0</v>
      </c>
      <c r="BE646" s="25">
        <v>0</v>
      </c>
      <c r="BF646" s="25">
        <f>646</f>
        <v>646</v>
      </c>
      <c r="BH646" s="25">
        <f t="shared" si="665"/>
        <v>0</v>
      </c>
      <c r="BI646" s="25">
        <f t="shared" si="666"/>
        <v>0</v>
      </c>
      <c r="BJ646" s="25">
        <f t="shared" si="667"/>
        <v>0</v>
      </c>
      <c r="BK646" s="27" t="s">
        <v>57</v>
      </c>
      <c r="BL646" s="25"/>
      <c r="BW646" s="25">
        <v>21</v>
      </c>
      <c r="BX646" s="5" t="s">
        <v>1943</v>
      </c>
    </row>
    <row r="647" spans="1:76" x14ac:dyDescent="0.25">
      <c r="A647" s="2" t="s">
        <v>1944</v>
      </c>
      <c r="B647" s="3" t="s">
        <v>1945</v>
      </c>
      <c r="C647" s="93" t="s">
        <v>1946</v>
      </c>
      <c r="D647" s="94"/>
      <c r="E647" s="3" t="s">
        <v>52</v>
      </c>
      <c r="F647" s="25">
        <v>14</v>
      </c>
      <c r="G647" s="25">
        <v>0</v>
      </c>
      <c r="H647" s="25">
        <f t="shared" si="646"/>
        <v>0</v>
      </c>
      <c r="I647" s="25">
        <f t="shared" si="647"/>
        <v>0</v>
      </c>
      <c r="J647" s="25">
        <f t="shared" si="648"/>
        <v>0</v>
      </c>
      <c r="K647" s="26" t="s">
        <v>53</v>
      </c>
      <c r="Z647" s="25">
        <f t="shared" si="649"/>
        <v>0</v>
      </c>
      <c r="AB647" s="25">
        <f t="shared" si="650"/>
        <v>0</v>
      </c>
      <c r="AC647" s="25">
        <f t="shared" si="651"/>
        <v>0</v>
      </c>
      <c r="AD647" s="25">
        <f t="shared" si="652"/>
        <v>0</v>
      </c>
      <c r="AE647" s="25">
        <f t="shared" si="653"/>
        <v>0</v>
      </c>
      <c r="AF647" s="25">
        <f t="shared" si="654"/>
        <v>0</v>
      </c>
      <c r="AG647" s="25">
        <f t="shared" si="655"/>
        <v>0</v>
      </c>
      <c r="AH647" s="25">
        <f t="shared" si="656"/>
        <v>0</v>
      </c>
      <c r="AI647" s="11" t="s">
        <v>46</v>
      </c>
      <c r="AJ647" s="25">
        <f t="shared" si="657"/>
        <v>0</v>
      </c>
      <c r="AK647" s="25">
        <f t="shared" si="658"/>
        <v>0</v>
      </c>
      <c r="AL647" s="25">
        <f t="shared" si="659"/>
        <v>0</v>
      </c>
      <c r="AN647" s="25">
        <v>21</v>
      </c>
      <c r="AO647" s="25">
        <f>G647*0.569990776</f>
        <v>0</v>
      </c>
      <c r="AP647" s="25">
        <f>G647*(1-0.569990776)</f>
        <v>0</v>
      </c>
      <c r="AQ647" s="27" t="s">
        <v>58</v>
      </c>
      <c r="AV647" s="25">
        <f t="shared" si="660"/>
        <v>0</v>
      </c>
      <c r="AW647" s="25">
        <f t="shared" si="661"/>
        <v>0</v>
      </c>
      <c r="AX647" s="25">
        <f t="shared" si="662"/>
        <v>0</v>
      </c>
      <c r="AY647" s="27" t="s">
        <v>1835</v>
      </c>
      <c r="AZ647" s="27" t="s">
        <v>305</v>
      </c>
      <c r="BA647" s="11" t="s">
        <v>56</v>
      </c>
      <c r="BC647" s="25">
        <f t="shared" si="663"/>
        <v>0</v>
      </c>
      <c r="BD647" s="25">
        <f t="shared" si="664"/>
        <v>0</v>
      </c>
      <c r="BE647" s="25">
        <v>0</v>
      </c>
      <c r="BF647" s="25">
        <f>647</f>
        <v>647</v>
      </c>
      <c r="BH647" s="25">
        <f t="shared" si="665"/>
        <v>0</v>
      </c>
      <c r="BI647" s="25">
        <f t="shared" si="666"/>
        <v>0</v>
      </c>
      <c r="BJ647" s="25">
        <f t="shared" si="667"/>
        <v>0</v>
      </c>
      <c r="BK647" s="27" t="s">
        <v>57</v>
      </c>
      <c r="BL647" s="25"/>
      <c r="BW647" s="25">
        <v>21</v>
      </c>
      <c r="BX647" s="5" t="s">
        <v>1946</v>
      </c>
    </row>
    <row r="648" spans="1:76" x14ac:dyDescent="0.25">
      <c r="A648" s="2" t="s">
        <v>1947</v>
      </c>
      <c r="B648" s="3" t="s">
        <v>1948</v>
      </c>
      <c r="C648" s="93" t="s">
        <v>1949</v>
      </c>
      <c r="D648" s="94"/>
      <c r="E648" s="3" t="s">
        <v>52</v>
      </c>
      <c r="F648" s="25">
        <v>15</v>
      </c>
      <c r="G648" s="25">
        <v>0</v>
      </c>
      <c r="H648" s="25">
        <f t="shared" si="646"/>
        <v>0</v>
      </c>
      <c r="I648" s="25">
        <f t="shared" si="647"/>
        <v>0</v>
      </c>
      <c r="J648" s="25">
        <f t="shared" si="648"/>
        <v>0</v>
      </c>
      <c r="K648" s="26" t="s">
        <v>53</v>
      </c>
      <c r="Z648" s="25">
        <f t="shared" si="649"/>
        <v>0</v>
      </c>
      <c r="AB648" s="25">
        <f t="shared" si="650"/>
        <v>0</v>
      </c>
      <c r="AC648" s="25">
        <f t="shared" si="651"/>
        <v>0</v>
      </c>
      <c r="AD648" s="25">
        <f t="shared" si="652"/>
        <v>0</v>
      </c>
      <c r="AE648" s="25">
        <f t="shared" si="653"/>
        <v>0</v>
      </c>
      <c r="AF648" s="25">
        <f t="shared" si="654"/>
        <v>0</v>
      </c>
      <c r="AG648" s="25">
        <f t="shared" si="655"/>
        <v>0</v>
      </c>
      <c r="AH648" s="25">
        <f t="shared" si="656"/>
        <v>0</v>
      </c>
      <c r="AI648" s="11" t="s">
        <v>46</v>
      </c>
      <c r="AJ648" s="25">
        <f t="shared" si="657"/>
        <v>0</v>
      </c>
      <c r="AK648" s="25">
        <f t="shared" si="658"/>
        <v>0</v>
      </c>
      <c r="AL648" s="25">
        <f t="shared" si="659"/>
        <v>0</v>
      </c>
      <c r="AN648" s="25">
        <v>21</v>
      </c>
      <c r="AO648" s="25">
        <f>G648*0.570002119</f>
        <v>0</v>
      </c>
      <c r="AP648" s="25">
        <f>G648*(1-0.570002119)</f>
        <v>0</v>
      </c>
      <c r="AQ648" s="27" t="s">
        <v>58</v>
      </c>
      <c r="AV648" s="25">
        <f t="shared" si="660"/>
        <v>0</v>
      </c>
      <c r="AW648" s="25">
        <f t="shared" si="661"/>
        <v>0</v>
      </c>
      <c r="AX648" s="25">
        <f t="shared" si="662"/>
        <v>0</v>
      </c>
      <c r="AY648" s="27" t="s">
        <v>1835</v>
      </c>
      <c r="AZ648" s="27" t="s">
        <v>305</v>
      </c>
      <c r="BA648" s="11" t="s">
        <v>56</v>
      </c>
      <c r="BC648" s="25">
        <f t="shared" si="663"/>
        <v>0</v>
      </c>
      <c r="BD648" s="25">
        <f t="shared" si="664"/>
        <v>0</v>
      </c>
      <c r="BE648" s="25">
        <v>0</v>
      </c>
      <c r="BF648" s="25">
        <f>648</f>
        <v>648</v>
      </c>
      <c r="BH648" s="25">
        <f t="shared" si="665"/>
        <v>0</v>
      </c>
      <c r="BI648" s="25">
        <f t="shared" si="666"/>
        <v>0</v>
      </c>
      <c r="BJ648" s="25">
        <f t="shared" si="667"/>
        <v>0</v>
      </c>
      <c r="BK648" s="27" t="s">
        <v>57</v>
      </c>
      <c r="BL648" s="25"/>
      <c r="BW648" s="25">
        <v>21</v>
      </c>
      <c r="BX648" s="5" t="s">
        <v>1949</v>
      </c>
    </row>
    <row r="649" spans="1:76" x14ac:dyDescent="0.25">
      <c r="A649" s="2" t="s">
        <v>1950</v>
      </c>
      <c r="B649" s="3" t="s">
        <v>1951</v>
      </c>
      <c r="C649" s="93" t="s">
        <v>1952</v>
      </c>
      <c r="D649" s="94"/>
      <c r="E649" s="3" t="s">
        <v>52</v>
      </c>
      <c r="F649" s="25">
        <v>8</v>
      </c>
      <c r="G649" s="25">
        <v>0</v>
      </c>
      <c r="H649" s="25">
        <f t="shared" si="646"/>
        <v>0</v>
      </c>
      <c r="I649" s="25">
        <f t="shared" si="647"/>
        <v>0</v>
      </c>
      <c r="J649" s="25">
        <f t="shared" si="648"/>
        <v>0</v>
      </c>
      <c r="K649" s="26" t="s">
        <v>53</v>
      </c>
      <c r="Z649" s="25">
        <f t="shared" si="649"/>
        <v>0</v>
      </c>
      <c r="AB649" s="25">
        <f t="shared" si="650"/>
        <v>0</v>
      </c>
      <c r="AC649" s="25">
        <f t="shared" si="651"/>
        <v>0</v>
      </c>
      <c r="AD649" s="25">
        <f t="shared" si="652"/>
        <v>0</v>
      </c>
      <c r="AE649" s="25">
        <f t="shared" si="653"/>
        <v>0</v>
      </c>
      <c r="AF649" s="25">
        <f t="shared" si="654"/>
        <v>0</v>
      </c>
      <c r="AG649" s="25">
        <f t="shared" si="655"/>
        <v>0</v>
      </c>
      <c r="AH649" s="25">
        <f t="shared" si="656"/>
        <v>0</v>
      </c>
      <c r="AI649" s="11" t="s">
        <v>46</v>
      </c>
      <c r="AJ649" s="25">
        <f t="shared" si="657"/>
        <v>0</v>
      </c>
      <c r="AK649" s="25">
        <f t="shared" si="658"/>
        <v>0</v>
      </c>
      <c r="AL649" s="25">
        <f t="shared" si="659"/>
        <v>0</v>
      </c>
      <c r="AN649" s="25">
        <v>21</v>
      </c>
      <c r="AO649" s="25">
        <f>G649*0.569988515</f>
        <v>0</v>
      </c>
      <c r="AP649" s="25">
        <f>G649*(1-0.569988515)</f>
        <v>0</v>
      </c>
      <c r="AQ649" s="27" t="s">
        <v>58</v>
      </c>
      <c r="AV649" s="25">
        <f t="shared" si="660"/>
        <v>0</v>
      </c>
      <c r="AW649" s="25">
        <f t="shared" si="661"/>
        <v>0</v>
      </c>
      <c r="AX649" s="25">
        <f t="shared" si="662"/>
        <v>0</v>
      </c>
      <c r="AY649" s="27" t="s">
        <v>1835</v>
      </c>
      <c r="AZ649" s="27" t="s">
        <v>305</v>
      </c>
      <c r="BA649" s="11" t="s">
        <v>56</v>
      </c>
      <c r="BC649" s="25">
        <f t="shared" si="663"/>
        <v>0</v>
      </c>
      <c r="BD649" s="25">
        <f t="shared" si="664"/>
        <v>0</v>
      </c>
      <c r="BE649" s="25">
        <v>0</v>
      </c>
      <c r="BF649" s="25">
        <f>649</f>
        <v>649</v>
      </c>
      <c r="BH649" s="25">
        <f t="shared" si="665"/>
        <v>0</v>
      </c>
      <c r="BI649" s="25">
        <f t="shared" si="666"/>
        <v>0</v>
      </c>
      <c r="BJ649" s="25">
        <f t="shared" si="667"/>
        <v>0</v>
      </c>
      <c r="BK649" s="27" t="s">
        <v>57</v>
      </c>
      <c r="BL649" s="25"/>
      <c r="BW649" s="25">
        <v>21</v>
      </c>
      <c r="BX649" s="5" t="s">
        <v>1952</v>
      </c>
    </row>
    <row r="650" spans="1:76" x14ac:dyDescent="0.25">
      <c r="A650" s="2" t="s">
        <v>1953</v>
      </c>
      <c r="B650" s="3" t="s">
        <v>1954</v>
      </c>
      <c r="C650" s="93" t="s">
        <v>1955</v>
      </c>
      <c r="D650" s="94"/>
      <c r="E650" s="3" t="s">
        <v>52</v>
      </c>
      <c r="F650" s="25">
        <v>51</v>
      </c>
      <c r="G650" s="25">
        <v>0</v>
      </c>
      <c r="H650" s="25">
        <f t="shared" si="646"/>
        <v>0</v>
      </c>
      <c r="I650" s="25">
        <f t="shared" si="647"/>
        <v>0</v>
      </c>
      <c r="J650" s="25">
        <f t="shared" si="648"/>
        <v>0</v>
      </c>
      <c r="K650" s="26" t="s">
        <v>53</v>
      </c>
      <c r="Z650" s="25">
        <f t="shared" si="649"/>
        <v>0</v>
      </c>
      <c r="AB650" s="25">
        <f t="shared" si="650"/>
        <v>0</v>
      </c>
      <c r="AC650" s="25">
        <f t="shared" si="651"/>
        <v>0</v>
      </c>
      <c r="AD650" s="25">
        <f t="shared" si="652"/>
        <v>0</v>
      </c>
      <c r="AE650" s="25">
        <f t="shared" si="653"/>
        <v>0</v>
      </c>
      <c r="AF650" s="25">
        <f t="shared" si="654"/>
        <v>0</v>
      </c>
      <c r="AG650" s="25">
        <f t="shared" si="655"/>
        <v>0</v>
      </c>
      <c r="AH650" s="25">
        <f t="shared" si="656"/>
        <v>0</v>
      </c>
      <c r="AI650" s="11" t="s">
        <v>46</v>
      </c>
      <c r="AJ650" s="25">
        <f t="shared" si="657"/>
        <v>0</v>
      </c>
      <c r="AK650" s="25">
        <f t="shared" si="658"/>
        <v>0</v>
      </c>
      <c r="AL650" s="25">
        <f t="shared" si="659"/>
        <v>0</v>
      </c>
      <c r="AN650" s="25">
        <v>21</v>
      </c>
      <c r="AO650" s="25">
        <f>G650*0.570003163</f>
        <v>0</v>
      </c>
      <c r="AP650" s="25">
        <f>G650*(1-0.570003163)</f>
        <v>0</v>
      </c>
      <c r="AQ650" s="27" t="s">
        <v>58</v>
      </c>
      <c r="AV650" s="25">
        <f t="shared" si="660"/>
        <v>0</v>
      </c>
      <c r="AW650" s="25">
        <f t="shared" si="661"/>
        <v>0</v>
      </c>
      <c r="AX650" s="25">
        <f t="shared" si="662"/>
        <v>0</v>
      </c>
      <c r="AY650" s="27" t="s">
        <v>1835</v>
      </c>
      <c r="AZ650" s="27" t="s">
        <v>305</v>
      </c>
      <c r="BA650" s="11" t="s">
        <v>56</v>
      </c>
      <c r="BC650" s="25">
        <f t="shared" si="663"/>
        <v>0</v>
      </c>
      <c r="BD650" s="25">
        <f t="shared" si="664"/>
        <v>0</v>
      </c>
      <c r="BE650" s="25">
        <v>0</v>
      </c>
      <c r="BF650" s="25">
        <f>650</f>
        <v>650</v>
      </c>
      <c r="BH650" s="25">
        <f t="shared" si="665"/>
        <v>0</v>
      </c>
      <c r="BI650" s="25">
        <f t="shared" si="666"/>
        <v>0</v>
      </c>
      <c r="BJ650" s="25">
        <f t="shared" si="667"/>
        <v>0</v>
      </c>
      <c r="BK650" s="27" t="s">
        <v>57</v>
      </c>
      <c r="BL650" s="25"/>
      <c r="BW650" s="25">
        <v>21</v>
      </c>
      <c r="BX650" s="5" t="s">
        <v>1955</v>
      </c>
    </row>
    <row r="651" spans="1:76" x14ac:dyDescent="0.25">
      <c r="A651" s="2" t="s">
        <v>1956</v>
      </c>
      <c r="B651" s="3" t="s">
        <v>1957</v>
      </c>
      <c r="C651" s="93" t="s">
        <v>1958</v>
      </c>
      <c r="D651" s="94"/>
      <c r="E651" s="3" t="s">
        <v>52</v>
      </c>
      <c r="F651" s="25">
        <v>15</v>
      </c>
      <c r="G651" s="25">
        <v>0</v>
      </c>
      <c r="H651" s="25">
        <f t="shared" si="646"/>
        <v>0</v>
      </c>
      <c r="I651" s="25">
        <f t="shared" si="647"/>
        <v>0</v>
      </c>
      <c r="J651" s="25">
        <f t="shared" si="648"/>
        <v>0</v>
      </c>
      <c r="K651" s="26" t="s">
        <v>53</v>
      </c>
      <c r="Z651" s="25">
        <f t="shared" si="649"/>
        <v>0</v>
      </c>
      <c r="AB651" s="25">
        <f t="shared" si="650"/>
        <v>0</v>
      </c>
      <c r="AC651" s="25">
        <f t="shared" si="651"/>
        <v>0</v>
      </c>
      <c r="AD651" s="25">
        <f t="shared" si="652"/>
        <v>0</v>
      </c>
      <c r="AE651" s="25">
        <f t="shared" si="653"/>
        <v>0</v>
      </c>
      <c r="AF651" s="25">
        <f t="shared" si="654"/>
        <v>0</v>
      </c>
      <c r="AG651" s="25">
        <f t="shared" si="655"/>
        <v>0</v>
      </c>
      <c r="AH651" s="25">
        <f t="shared" si="656"/>
        <v>0</v>
      </c>
      <c r="AI651" s="11" t="s">
        <v>46</v>
      </c>
      <c r="AJ651" s="25">
        <f t="shared" si="657"/>
        <v>0</v>
      </c>
      <c r="AK651" s="25">
        <f t="shared" si="658"/>
        <v>0</v>
      </c>
      <c r="AL651" s="25">
        <f t="shared" si="659"/>
        <v>0</v>
      </c>
      <c r="AN651" s="25">
        <v>21</v>
      </c>
      <c r="AO651" s="25">
        <f>G651*0.569993776</f>
        <v>0</v>
      </c>
      <c r="AP651" s="25">
        <f>G651*(1-0.569993776)</f>
        <v>0</v>
      </c>
      <c r="AQ651" s="27" t="s">
        <v>58</v>
      </c>
      <c r="AV651" s="25">
        <f t="shared" si="660"/>
        <v>0</v>
      </c>
      <c r="AW651" s="25">
        <f t="shared" si="661"/>
        <v>0</v>
      </c>
      <c r="AX651" s="25">
        <f t="shared" si="662"/>
        <v>0</v>
      </c>
      <c r="AY651" s="27" t="s">
        <v>1835</v>
      </c>
      <c r="AZ651" s="27" t="s">
        <v>305</v>
      </c>
      <c r="BA651" s="11" t="s">
        <v>56</v>
      </c>
      <c r="BC651" s="25">
        <f t="shared" si="663"/>
        <v>0</v>
      </c>
      <c r="BD651" s="25">
        <f t="shared" si="664"/>
        <v>0</v>
      </c>
      <c r="BE651" s="25">
        <v>0</v>
      </c>
      <c r="BF651" s="25">
        <f>651</f>
        <v>651</v>
      </c>
      <c r="BH651" s="25">
        <f t="shared" si="665"/>
        <v>0</v>
      </c>
      <c r="BI651" s="25">
        <f t="shared" si="666"/>
        <v>0</v>
      </c>
      <c r="BJ651" s="25">
        <f t="shared" si="667"/>
        <v>0</v>
      </c>
      <c r="BK651" s="27" t="s">
        <v>57</v>
      </c>
      <c r="BL651" s="25"/>
      <c r="BW651" s="25">
        <v>21</v>
      </c>
      <c r="BX651" s="5" t="s">
        <v>1958</v>
      </c>
    </row>
    <row r="652" spans="1:76" x14ac:dyDescent="0.25">
      <c r="A652" s="2" t="s">
        <v>1959</v>
      </c>
      <c r="B652" s="3" t="s">
        <v>1960</v>
      </c>
      <c r="C652" s="93" t="s">
        <v>1961</v>
      </c>
      <c r="D652" s="94"/>
      <c r="E652" s="3" t="s">
        <v>52</v>
      </c>
      <c r="F652" s="25">
        <v>105</v>
      </c>
      <c r="G652" s="25">
        <v>0</v>
      </c>
      <c r="H652" s="25">
        <f t="shared" si="646"/>
        <v>0</v>
      </c>
      <c r="I652" s="25">
        <f t="shared" si="647"/>
        <v>0</v>
      </c>
      <c r="J652" s="25">
        <f t="shared" si="648"/>
        <v>0</v>
      </c>
      <c r="K652" s="26" t="s">
        <v>53</v>
      </c>
      <c r="Z652" s="25">
        <f t="shared" si="649"/>
        <v>0</v>
      </c>
      <c r="AB652" s="25">
        <f t="shared" si="650"/>
        <v>0</v>
      </c>
      <c r="AC652" s="25">
        <f t="shared" si="651"/>
        <v>0</v>
      </c>
      <c r="AD652" s="25">
        <f t="shared" si="652"/>
        <v>0</v>
      </c>
      <c r="AE652" s="25">
        <f t="shared" si="653"/>
        <v>0</v>
      </c>
      <c r="AF652" s="25">
        <f t="shared" si="654"/>
        <v>0</v>
      </c>
      <c r="AG652" s="25">
        <f t="shared" si="655"/>
        <v>0</v>
      </c>
      <c r="AH652" s="25">
        <f t="shared" si="656"/>
        <v>0</v>
      </c>
      <c r="AI652" s="11" t="s">
        <v>46</v>
      </c>
      <c r="AJ652" s="25">
        <f t="shared" si="657"/>
        <v>0</v>
      </c>
      <c r="AK652" s="25">
        <f t="shared" si="658"/>
        <v>0</v>
      </c>
      <c r="AL652" s="25">
        <f t="shared" si="659"/>
        <v>0</v>
      </c>
      <c r="AN652" s="25">
        <v>21</v>
      </c>
      <c r="AO652" s="25">
        <f>G652*0.570042354</f>
        <v>0</v>
      </c>
      <c r="AP652" s="25">
        <f>G652*(1-0.570042354)</f>
        <v>0</v>
      </c>
      <c r="AQ652" s="27" t="s">
        <v>58</v>
      </c>
      <c r="AV652" s="25">
        <f t="shared" si="660"/>
        <v>0</v>
      </c>
      <c r="AW652" s="25">
        <f t="shared" si="661"/>
        <v>0</v>
      </c>
      <c r="AX652" s="25">
        <f t="shared" si="662"/>
        <v>0</v>
      </c>
      <c r="AY652" s="27" t="s">
        <v>1835</v>
      </c>
      <c r="AZ652" s="27" t="s">
        <v>305</v>
      </c>
      <c r="BA652" s="11" t="s">
        <v>56</v>
      </c>
      <c r="BC652" s="25">
        <f t="shared" si="663"/>
        <v>0</v>
      </c>
      <c r="BD652" s="25">
        <f t="shared" si="664"/>
        <v>0</v>
      </c>
      <c r="BE652" s="25">
        <v>0</v>
      </c>
      <c r="BF652" s="25">
        <f>652</f>
        <v>652</v>
      </c>
      <c r="BH652" s="25">
        <f t="shared" si="665"/>
        <v>0</v>
      </c>
      <c r="BI652" s="25">
        <f t="shared" si="666"/>
        <v>0</v>
      </c>
      <c r="BJ652" s="25">
        <f t="shared" si="667"/>
        <v>0</v>
      </c>
      <c r="BK652" s="27" t="s">
        <v>57</v>
      </c>
      <c r="BL652" s="25"/>
      <c r="BW652" s="25">
        <v>21</v>
      </c>
      <c r="BX652" s="5" t="s">
        <v>1961</v>
      </c>
    </row>
    <row r="653" spans="1:76" x14ac:dyDescent="0.25">
      <c r="A653" s="2" t="s">
        <v>1962</v>
      </c>
      <c r="B653" s="3" t="s">
        <v>1963</v>
      </c>
      <c r="C653" s="93" t="s">
        <v>1964</v>
      </c>
      <c r="D653" s="94"/>
      <c r="E653" s="3" t="s">
        <v>52</v>
      </c>
      <c r="F653" s="25">
        <v>24</v>
      </c>
      <c r="G653" s="25">
        <v>0</v>
      </c>
      <c r="H653" s="25">
        <f t="shared" si="646"/>
        <v>0</v>
      </c>
      <c r="I653" s="25">
        <f t="shared" si="647"/>
        <v>0</v>
      </c>
      <c r="J653" s="25">
        <f t="shared" si="648"/>
        <v>0</v>
      </c>
      <c r="K653" s="26" t="s">
        <v>53</v>
      </c>
      <c r="Z653" s="25">
        <f t="shared" si="649"/>
        <v>0</v>
      </c>
      <c r="AB653" s="25">
        <f t="shared" si="650"/>
        <v>0</v>
      </c>
      <c r="AC653" s="25">
        <f t="shared" si="651"/>
        <v>0</v>
      </c>
      <c r="AD653" s="25">
        <f t="shared" si="652"/>
        <v>0</v>
      </c>
      <c r="AE653" s="25">
        <f t="shared" si="653"/>
        <v>0</v>
      </c>
      <c r="AF653" s="25">
        <f t="shared" si="654"/>
        <v>0</v>
      </c>
      <c r="AG653" s="25">
        <f t="shared" si="655"/>
        <v>0</v>
      </c>
      <c r="AH653" s="25">
        <f t="shared" si="656"/>
        <v>0</v>
      </c>
      <c r="AI653" s="11" t="s">
        <v>46</v>
      </c>
      <c r="AJ653" s="25">
        <f t="shared" si="657"/>
        <v>0</v>
      </c>
      <c r="AK653" s="25">
        <f t="shared" si="658"/>
        <v>0</v>
      </c>
      <c r="AL653" s="25">
        <f t="shared" si="659"/>
        <v>0</v>
      </c>
      <c r="AN653" s="25">
        <v>21</v>
      </c>
      <c r="AO653" s="25">
        <f>G653*0.569963185</f>
        <v>0</v>
      </c>
      <c r="AP653" s="25">
        <f>G653*(1-0.569963185)</f>
        <v>0</v>
      </c>
      <c r="AQ653" s="27" t="s">
        <v>58</v>
      </c>
      <c r="AV653" s="25">
        <f t="shared" si="660"/>
        <v>0</v>
      </c>
      <c r="AW653" s="25">
        <f t="shared" si="661"/>
        <v>0</v>
      </c>
      <c r="AX653" s="25">
        <f t="shared" si="662"/>
        <v>0</v>
      </c>
      <c r="AY653" s="27" t="s">
        <v>1835</v>
      </c>
      <c r="AZ653" s="27" t="s">
        <v>305</v>
      </c>
      <c r="BA653" s="11" t="s">
        <v>56</v>
      </c>
      <c r="BC653" s="25">
        <f t="shared" si="663"/>
        <v>0</v>
      </c>
      <c r="BD653" s="25">
        <f t="shared" si="664"/>
        <v>0</v>
      </c>
      <c r="BE653" s="25">
        <v>0</v>
      </c>
      <c r="BF653" s="25">
        <f>653</f>
        <v>653</v>
      </c>
      <c r="BH653" s="25">
        <f t="shared" si="665"/>
        <v>0</v>
      </c>
      <c r="BI653" s="25">
        <f t="shared" si="666"/>
        <v>0</v>
      </c>
      <c r="BJ653" s="25">
        <f t="shared" si="667"/>
        <v>0</v>
      </c>
      <c r="BK653" s="27" t="s">
        <v>57</v>
      </c>
      <c r="BL653" s="25"/>
      <c r="BW653" s="25">
        <v>21</v>
      </c>
      <c r="BX653" s="5" t="s">
        <v>1964</v>
      </c>
    </row>
    <row r="654" spans="1:76" x14ac:dyDescent="0.25">
      <c r="A654" s="2" t="s">
        <v>1965</v>
      </c>
      <c r="B654" s="3" t="s">
        <v>1966</v>
      </c>
      <c r="C654" s="93" t="s">
        <v>1967</v>
      </c>
      <c r="D654" s="94"/>
      <c r="E654" s="3" t="s">
        <v>52</v>
      </c>
      <c r="F654" s="25">
        <v>44</v>
      </c>
      <c r="G654" s="25">
        <v>0</v>
      </c>
      <c r="H654" s="25">
        <f t="shared" si="646"/>
        <v>0</v>
      </c>
      <c r="I654" s="25">
        <f t="shared" si="647"/>
        <v>0</v>
      </c>
      <c r="J654" s="25">
        <f t="shared" si="648"/>
        <v>0</v>
      </c>
      <c r="K654" s="26" t="s">
        <v>53</v>
      </c>
      <c r="Z654" s="25">
        <f t="shared" si="649"/>
        <v>0</v>
      </c>
      <c r="AB654" s="25">
        <f t="shared" si="650"/>
        <v>0</v>
      </c>
      <c r="AC654" s="25">
        <f t="shared" si="651"/>
        <v>0</v>
      </c>
      <c r="AD654" s="25">
        <f t="shared" si="652"/>
        <v>0</v>
      </c>
      <c r="AE654" s="25">
        <f t="shared" si="653"/>
        <v>0</v>
      </c>
      <c r="AF654" s="25">
        <f t="shared" si="654"/>
        <v>0</v>
      </c>
      <c r="AG654" s="25">
        <f t="shared" si="655"/>
        <v>0</v>
      </c>
      <c r="AH654" s="25">
        <f t="shared" si="656"/>
        <v>0</v>
      </c>
      <c r="AI654" s="11" t="s">
        <v>46</v>
      </c>
      <c r="AJ654" s="25">
        <f t="shared" si="657"/>
        <v>0</v>
      </c>
      <c r="AK654" s="25">
        <f t="shared" si="658"/>
        <v>0</v>
      </c>
      <c r="AL654" s="25">
        <f t="shared" si="659"/>
        <v>0</v>
      </c>
      <c r="AN654" s="25">
        <v>21</v>
      </c>
      <c r="AO654" s="25">
        <f>G654*0.56998635</f>
        <v>0</v>
      </c>
      <c r="AP654" s="25">
        <f>G654*(1-0.56998635)</f>
        <v>0</v>
      </c>
      <c r="AQ654" s="27" t="s">
        <v>58</v>
      </c>
      <c r="AV654" s="25">
        <f t="shared" si="660"/>
        <v>0</v>
      </c>
      <c r="AW654" s="25">
        <f t="shared" si="661"/>
        <v>0</v>
      </c>
      <c r="AX654" s="25">
        <f t="shared" si="662"/>
        <v>0</v>
      </c>
      <c r="AY654" s="27" t="s">
        <v>1835</v>
      </c>
      <c r="AZ654" s="27" t="s">
        <v>305</v>
      </c>
      <c r="BA654" s="11" t="s">
        <v>56</v>
      </c>
      <c r="BC654" s="25">
        <f t="shared" si="663"/>
        <v>0</v>
      </c>
      <c r="BD654" s="25">
        <f t="shared" si="664"/>
        <v>0</v>
      </c>
      <c r="BE654" s="25">
        <v>0</v>
      </c>
      <c r="BF654" s="25">
        <f>654</f>
        <v>654</v>
      </c>
      <c r="BH654" s="25">
        <f t="shared" si="665"/>
        <v>0</v>
      </c>
      <c r="BI654" s="25">
        <f t="shared" si="666"/>
        <v>0</v>
      </c>
      <c r="BJ654" s="25">
        <f t="shared" si="667"/>
        <v>0</v>
      </c>
      <c r="BK654" s="27" t="s">
        <v>57</v>
      </c>
      <c r="BL654" s="25"/>
      <c r="BW654" s="25">
        <v>21</v>
      </c>
      <c r="BX654" s="5" t="s">
        <v>1967</v>
      </c>
    </row>
    <row r="655" spans="1:76" x14ac:dyDescent="0.25">
      <c r="A655" s="2" t="s">
        <v>1968</v>
      </c>
      <c r="B655" s="3" t="s">
        <v>1969</v>
      </c>
      <c r="C655" s="93" t="s">
        <v>1970</v>
      </c>
      <c r="D655" s="94"/>
      <c r="E655" s="3" t="s">
        <v>52</v>
      </c>
      <c r="F655" s="25">
        <v>12</v>
      </c>
      <c r="G655" s="25">
        <v>0</v>
      </c>
      <c r="H655" s="25">
        <f t="shared" si="646"/>
        <v>0</v>
      </c>
      <c r="I655" s="25">
        <f t="shared" si="647"/>
        <v>0</v>
      </c>
      <c r="J655" s="25">
        <f t="shared" si="648"/>
        <v>0</v>
      </c>
      <c r="K655" s="26" t="s">
        <v>53</v>
      </c>
      <c r="Z655" s="25">
        <f t="shared" si="649"/>
        <v>0</v>
      </c>
      <c r="AB655" s="25">
        <f t="shared" si="650"/>
        <v>0</v>
      </c>
      <c r="AC655" s="25">
        <f t="shared" si="651"/>
        <v>0</v>
      </c>
      <c r="AD655" s="25">
        <f t="shared" si="652"/>
        <v>0</v>
      </c>
      <c r="AE655" s="25">
        <f t="shared" si="653"/>
        <v>0</v>
      </c>
      <c r="AF655" s="25">
        <f t="shared" si="654"/>
        <v>0</v>
      </c>
      <c r="AG655" s="25">
        <f t="shared" si="655"/>
        <v>0</v>
      </c>
      <c r="AH655" s="25">
        <f t="shared" si="656"/>
        <v>0</v>
      </c>
      <c r="AI655" s="11" t="s">
        <v>46</v>
      </c>
      <c r="AJ655" s="25">
        <f t="shared" si="657"/>
        <v>0</v>
      </c>
      <c r="AK655" s="25">
        <f t="shared" si="658"/>
        <v>0</v>
      </c>
      <c r="AL655" s="25">
        <f t="shared" si="659"/>
        <v>0</v>
      </c>
      <c r="AN655" s="25">
        <v>21</v>
      </c>
      <c r="AO655" s="25">
        <f>G655*0.569979863</f>
        <v>0</v>
      </c>
      <c r="AP655" s="25">
        <f>G655*(1-0.569979863)</f>
        <v>0</v>
      </c>
      <c r="AQ655" s="27" t="s">
        <v>58</v>
      </c>
      <c r="AV655" s="25">
        <f t="shared" si="660"/>
        <v>0</v>
      </c>
      <c r="AW655" s="25">
        <f t="shared" si="661"/>
        <v>0</v>
      </c>
      <c r="AX655" s="25">
        <f t="shared" si="662"/>
        <v>0</v>
      </c>
      <c r="AY655" s="27" t="s">
        <v>1835</v>
      </c>
      <c r="AZ655" s="27" t="s">
        <v>305</v>
      </c>
      <c r="BA655" s="11" t="s">
        <v>56</v>
      </c>
      <c r="BC655" s="25">
        <f t="shared" si="663"/>
        <v>0</v>
      </c>
      <c r="BD655" s="25">
        <f t="shared" si="664"/>
        <v>0</v>
      </c>
      <c r="BE655" s="25">
        <v>0</v>
      </c>
      <c r="BF655" s="25">
        <f>655</f>
        <v>655</v>
      </c>
      <c r="BH655" s="25">
        <f t="shared" si="665"/>
        <v>0</v>
      </c>
      <c r="BI655" s="25">
        <f t="shared" si="666"/>
        <v>0</v>
      </c>
      <c r="BJ655" s="25">
        <f t="shared" si="667"/>
        <v>0</v>
      </c>
      <c r="BK655" s="27" t="s">
        <v>57</v>
      </c>
      <c r="BL655" s="25"/>
      <c r="BW655" s="25">
        <v>21</v>
      </c>
      <c r="BX655" s="5" t="s">
        <v>1970</v>
      </c>
    </row>
    <row r="656" spans="1:76" x14ac:dyDescent="0.25">
      <c r="A656" s="2" t="s">
        <v>1971</v>
      </c>
      <c r="B656" s="3" t="s">
        <v>1972</v>
      </c>
      <c r="C656" s="93" t="s">
        <v>1973</v>
      </c>
      <c r="D656" s="94"/>
      <c r="E656" s="3" t="s">
        <v>52</v>
      </c>
      <c r="F656" s="25">
        <v>22</v>
      </c>
      <c r="G656" s="25">
        <v>0</v>
      </c>
      <c r="H656" s="25">
        <f t="shared" si="646"/>
        <v>0</v>
      </c>
      <c r="I656" s="25">
        <f t="shared" si="647"/>
        <v>0</v>
      </c>
      <c r="J656" s="25">
        <f t="shared" si="648"/>
        <v>0</v>
      </c>
      <c r="K656" s="26" t="s">
        <v>53</v>
      </c>
      <c r="Z656" s="25">
        <f t="shared" si="649"/>
        <v>0</v>
      </c>
      <c r="AB656" s="25">
        <f t="shared" si="650"/>
        <v>0</v>
      </c>
      <c r="AC656" s="25">
        <f t="shared" si="651"/>
        <v>0</v>
      </c>
      <c r="AD656" s="25">
        <f t="shared" si="652"/>
        <v>0</v>
      </c>
      <c r="AE656" s="25">
        <f t="shared" si="653"/>
        <v>0</v>
      </c>
      <c r="AF656" s="25">
        <f t="shared" si="654"/>
        <v>0</v>
      </c>
      <c r="AG656" s="25">
        <f t="shared" si="655"/>
        <v>0</v>
      </c>
      <c r="AH656" s="25">
        <f t="shared" si="656"/>
        <v>0</v>
      </c>
      <c r="AI656" s="11" t="s">
        <v>46</v>
      </c>
      <c r="AJ656" s="25">
        <f t="shared" si="657"/>
        <v>0</v>
      </c>
      <c r="AK656" s="25">
        <f t="shared" si="658"/>
        <v>0</v>
      </c>
      <c r="AL656" s="25">
        <f t="shared" si="659"/>
        <v>0</v>
      </c>
      <c r="AN656" s="25">
        <v>21</v>
      </c>
      <c r="AO656" s="25">
        <f>G656*0.56998944</f>
        <v>0</v>
      </c>
      <c r="AP656" s="25">
        <f>G656*(1-0.56998944)</f>
        <v>0</v>
      </c>
      <c r="AQ656" s="27" t="s">
        <v>58</v>
      </c>
      <c r="AV656" s="25">
        <f t="shared" si="660"/>
        <v>0</v>
      </c>
      <c r="AW656" s="25">
        <f t="shared" si="661"/>
        <v>0</v>
      </c>
      <c r="AX656" s="25">
        <f t="shared" si="662"/>
        <v>0</v>
      </c>
      <c r="AY656" s="27" t="s">
        <v>1835</v>
      </c>
      <c r="AZ656" s="27" t="s">
        <v>305</v>
      </c>
      <c r="BA656" s="11" t="s">
        <v>56</v>
      </c>
      <c r="BC656" s="25">
        <f t="shared" si="663"/>
        <v>0</v>
      </c>
      <c r="BD656" s="25">
        <f t="shared" si="664"/>
        <v>0</v>
      </c>
      <c r="BE656" s="25">
        <v>0</v>
      </c>
      <c r="BF656" s="25">
        <f>656</f>
        <v>656</v>
      </c>
      <c r="BH656" s="25">
        <f t="shared" si="665"/>
        <v>0</v>
      </c>
      <c r="BI656" s="25">
        <f t="shared" si="666"/>
        <v>0</v>
      </c>
      <c r="BJ656" s="25">
        <f t="shared" si="667"/>
        <v>0</v>
      </c>
      <c r="BK656" s="27" t="s">
        <v>57</v>
      </c>
      <c r="BL656" s="25"/>
      <c r="BW656" s="25">
        <v>21</v>
      </c>
      <c r="BX656" s="5" t="s">
        <v>1973</v>
      </c>
    </row>
    <row r="657" spans="1:76" x14ac:dyDescent="0.25">
      <c r="A657" s="2" t="s">
        <v>1974</v>
      </c>
      <c r="B657" s="3" t="s">
        <v>1975</v>
      </c>
      <c r="C657" s="93" t="s">
        <v>1976</v>
      </c>
      <c r="D657" s="94"/>
      <c r="E657" s="3" t="s">
        <v>52</v>
      </c>
      <c r="F657" s="25">
        <v>5</v>
      </c>
      <c r="G657" s="25">
        <v>0</v>
      </c>
      <c r="H657" s="25">
        <f t="shared" si="646"/>
        <v>0</v>
      </c>
      <c r="I657" s="25">
        <f t="shared" si="647"/>
        <v>0</v>
      </c>
      <c r="J657" s="25">
        <f t="shared" si="648"/>
        <v>0</v>
      </c>
      <c r="K657" s="26" t="s">
        <v>53</v>
      </c>
      <c r="Z657" s="25">
        <f t="shared" si="649"/>
        <v>0</v>
      </c>
      <c r="AB657" s="25">
        <f t="shared" si="650"/>
        <v>0</v>
      </c>
      <c r="AC657" s="25">
        <f t="shared" si="651"/>
        <v>0</v>
      </c>
      <c r="AD657" s="25">
        <f t="shared" si="652"/>
        <v>0</v>
      </c>
      <c r="AE657" s="25">
        <f t="shared" si="653"/>
        <v>0</v>
      </c>
      <c r="AF657" s="25">
        <f t="shared" si="654"/>
        <v>0</v>
      </c>
      <c r="AG657" s="25">
        <f t="shared" si="655"/>
        <v>0</v>
      </c>
      <c r="AH657" s="25">
        <f t="shared" si="656"/>
        <v>0</v>
      </c>
      <c r="AI657" s="11" t="s">
        <v>46</v>
      </c>
      <c r="AJ657" s="25">
        <f t="shared" si="657"/>
        <v>0</v>
      </c>
      <c r="AK657" s="25">
        <f t="shared" si="658"/>
        <v>0</v>
      </c>
      <c r="AL657" s="25">
        <f t="shared" si="659"/>
        <v>0</v>
      </c>
      <c r="AN657" s="25">
        <v>21</v>
      </c>
      <c r="AO657" s="25">
        <f>G657*0.56999322</f>
        <v>0</v>
      </c>
      <c r="AP657" s="25">
        <f>G657*(1-0.56999322)</f>
        <v>0</v>
      </c>
      <c r="AQ657" s="27" t="s">
        <v>58</v>
      </c>
      <c r="AV657" s="25">
        <f t="shared" si="660"/>
        <v>0</v>
      </c>
      <c r="AW657" s="25">
        <f t="shared" si="661"/>
        <v>0</v>
      </c>
      <c r="AX657" s="25">
        <f t="shared" si="662"/>
        <v>0</v>
      </c>
      <c r="AY657" s="27" t="s">
        <v>1835</v>
      </c>
      <c r="AZ657" s="27" t="s">
        <v>305</v>
      </c>
      <c r="BA657" s="11" t="s">
        <v>56</v>
      </c>
      <c r="BC657" s="25">
        <f t="shared" si="663"/>
        <v>0</v>
      </c>
      <c r="BD657" s="25">
        <f t="shared" si="664"/>
        <v>0</v>
      </c>
      <c r="BE657" s="25">
        <v>0</v>
      </c>
      <c r="BF657" s="25">
        <f>657</f>
        <v>657</v>
      </c>
      <c r="BH657" s="25">
        <f t="shared" si="665"/>
        <v>0</v>
      </c>
      <c r="BI657" s="25">
        <f t="shared" si="666"/>
        <v>0</v>
      </c>
      <c r="BJ657" s="25">
        <f t="shared" si="667"/>
        <v>0</v>
      </c>
      <c r="BK657" s="27" t="s">
        <v>57</v>
      </c>
      <c r="BL657" s="25"/>
      <c r="BW657" s="25">
        <v>21</v>
      </c>
      <c r="BX657" s="5" t="s">
        <v>1976</v>
      </c>
    </row>
    <row r="658" spans="1:76" x14ac:dyDescent="0.25">
      <c r="A658" s="2" t="s">
        <v>1977</v>
      </c>
      <c r="B658" s="3" t="s">
        <v>1978</v>
      </c>
      <c r="C658" s="93" t="s">
        <v>1979</v>
      </c>
      <c r="D658" s="94"/>
      <c r="E658" s="3" t="s">
        <v>52</v>
      </c>
      <c r="F658" s="25">
        <v>7</v>
      </c>
      <c r="G658" s="25">
        <v>0</v>
      </c>
      <c r="H658" s="25">
        <f t="shared" si="646"/>
        <v>0</v>
      </c>
      <c r="I658" s="25">
        <f t="shared" si="647"/>
        <v>0</v>
      </c>
      <c r="J658" s="25">
        <f t="shared" si="648"/>
        <v>0</v>
      </c>
      <c r="K658" s="26" t="s">
        <v>53</v>
      </c>
      <c r="Z658" s="25">
        <f t="shared" si="649"/>
        <v>0</v>
      </c>
      <c r="AB658" s="25">
        <f t="shared" si="650"/>
        <v>0</v>
      </c>
      <c r="AC658" s="25">
        <f t="shared" si="651"/>
        <v>0</v>
      </c>
      <c r="AD658" s="25">
        <f t="shared" si="652"/>
        <v>0</v>
      </c>
      <c r="AE658" s="25">
        <f t="shared" si="653"/>
        <v>0</v>
      </c>
      <c r="AF658" s="25">
        <f t="shared" si="654"/>
        <v>0</v>
      </c>
      <c r="AG658" s="25">
        <f t="shared" si="655"/>
        <v>0</v>
      </c>
      <c r="AH658" s="25">
        <f t="shared" si="656"/>
        <v>0</v>
      </c>
      <c r="AI658" s="11" t="s">
        <v>46</v>
      </c>
      <c r="AJ658" s="25">
        <f t="shared" si="657"/>
        <v>0</v>
      </c>
      <c r="AK658" s="25">
        <f t="shared" si="658"/>
        <v>0</v>
      </c>
      <c r="AL658" s="25">
        <f t="shared" si="659"/>
        <v>0</v>
      </c>
      <c r="AN658" s="25">
        <v>21</v>
      </c>
      <c r="AO658" s="25">
        <f>G658*0.569987217</f>
        <v>0</v>
      </c>
      <c r="AP658" s="25">
        <f>G658*(1-0.569987217)</f>
        <v>0</v>
      </c>
      <c r="AQ658" s="27" t="s">
        <v>58</v>
      </c>
      <c r="AV658" s="25">
        <f t="shared" si="660"/>
        <v>0</v>
      </c>
      <c r="AW658" s="25">
        <f t="shared" si="661"/>
        <v>0</v>
      </c>
      <c r="AX658" s="25">
        <f t="shared" si="662"/>
        <v>0</v>
      </c>
      <c r="AY658" s="27" t="s">
        <v>1835</v>
      </c>
      <c r="AZ658" s="27" t="s">
        <v>305</v>
      </c>
      <c r="BA658" s="11" t="s">
        <v>56</v>
      </c>
      <c r="BC658" s="25">
        <f t="shared" si="663"/>
        <v>0</v>
      </c>
      <c r="BD658" s="25">
        <f t="shared" si="664"/>
        <v>0</v>
      </c>
      <c r="BE658" s="25">
        <v>0</v>
      </c>
      <c r="BF658" s="25">
        <f>658</f>
        <v>658</v>
      </c>
      <c r="BH658" s="25">
        <f t="shared" si="665"/>
        <v>0</v>
      </c>
      <c r="BI658" s="25">
        <f t="shared" si="666"/>
        <v>0</v>
      </c>
      <c r="BJ658" s="25">
        <f t="shared" si="667"/>
        <v>0</v>
      </c>
      <c r="BK658" s="27" t="s">
        <v>57</v>
      </c>
      <c r="BL658" s="25"/>
      <c r="BW658" s="25">
        <v>21</v>
      </c>
      <c r="BX658" s="5" t="s">
        <v>1979</v>
      </c>
    </row>
    <row r="659" spans="1:76" x14ac:dyDescent="0.25">
      <c r="A659" s="2" t="s">
        <v>1980</v>
      </c>
      <c r="B659" s="3" t="s">
        <v>1981</v>
      </c>
      <c r="C659" s="93" t="s">
        <v>1982</v>
      </c>
      <c r="D659" s="94"/>
      <c r="E659" s="3" t="s">
        <v>52</v>
      </c>
      <c r="F659" s="25">
        <v>1</v>
      </c>
      <c r="G659" s="25">
        <v>0</v>
      </c>
      <c r="H659" s="25">
        <f t="shared" si="646"/>
        <v>0</v>
      </c>
      <c r="I659" s="25">
        <f t="shared" si="647"/>
        <v>0</v>
      </c>
      <c r="J659" s="25">
        <f t="shared" si="648"/>
        <v>0</v>
      </c>
      <c r="K659" s="26" t="s">
        <v>53</v>
      </c>
      <c r="Z659" s="25">
        <f t="shared" si="649"/>
        <v>0</v>
      </c>
      <c r="AB659" s="25">
        <f t="shared" si="650"/>
        <v>0</v>
      </c>
      <c r="AC659" s="25">
        <f t="shared" si="651"/>
        <v>0</v>
      </c>
      <c r="AD659" s="25">
        <f t="shared" si="652"/>
        <v>0</v>
      </c>
      <c r="AE659" s="25">
        <f t="shared" si="653"/>
        <v>0</v>
      </c>
      <c r="AF659" s="25">
        <f t="shared" si="654"/>
        <v>0</v>
      </c>
      <c r="AG659" s="25">
        <f t="shared" si="655"/>
        <v>0</v>
      </c>
      <c r="AH659" s="25">
        <f t="shared" si="656"/>
        <v>0</v>
      </c>
      <c r="AI659" s="11" t="s">
        <v>46</v>
      </c>
      <c r="AJ659" s="25">
        <f t="shared" si="657"/>
        <v>0</v>
      </c>
      <c r="AK659" s="25">
        <f t="shared" si="658"/>
        <v>0</v>
      </c>
      <c r="AL659" s="25">
        <f t="shared" si="659"/>
        <v>0</v>
      </c>
      <c r="AN659" s="25">
        <v>21</v>
      </c>
      <c r="AO659" s="25">
        <f>G659*0.57</f>
        <v>0</v>
      </c>
      <c r="AP659" s="25">
        <f>G659*(1-0.57)</f>
        <v>0</v>
      </c>
      <c r="AQ659" s="27" t="s">
        <v>58</v>
      </c>
      <c r="AV659" s="25">
        <f t="shared" si="660"/>
        <v>0</v>
      </c>
      <c r="AW659" s="25">
        <f t="shared" si="661"/>
        <v>0</v>
      </c>
      <c r="AX659" s="25">
        <f t="shared" si="662"/>
        <v>0</v>
      </c>
      <c r="AY659" s="27" t="s">
        <v>1835</v>
      </c>
      <c r="AZ659" s="27" t="s">
        <v>305</v>
      </c>
      <c r="BA659" s="11" t="s">
        <v>56</v>
      </c>
      <c r="BC659" s="25">
        <f t="shared" si="663"/>
        <v>0</v>
      </c>
      <c r="BD659" s="25">
        <f t="shared" si="664"/>
        <v>0</v>
      </c>
      <c r="BE659" s="25">
        <v>0</v>
      </c>
      <c r="BF659" s="25">
        <f>659</f>
        <v>659</v>
      </c>
      <c r="BH659" s="25">
        <f t="shared" si="665"/>
        <v>0</v>
      </c>
      <c r="BI659" s="25">
        <f t="shared" si="666"/>
        <v>0</v>
      </c>
      <c r="BJ659" s="25">
        <f t="shared" si="667"/>
        <v>0</v>
      </c>
      <c r="BK659" s="27" t="s">
        <v>57</v>
      </c>
      <c r="BL659" s="25"/>
      <c r="BW659" s="25">
        <v>21</v>
      </c>
      <c r="BX659" s="5" t="s">
        <v>1982</v>
      </c>
    </row>
    <row r="660" spans="1:76" x14ac:dyDescent="0.25">
      <c r="A660" s="2" t="s">
        <v>1983</v>
      </c>
      <c r="B660" s="3" t="s">
        <v>1984</v>
      </c>
      <c r="C660" s="93" t="s">
        <v>1985</v>
      </c>
      <c r="D660" s="94"/>
      <c r="E660" s="3" t="s">
        <v>52</v>
      </c>
      <c r="F660" s="25">
        <v>2</v>
      </c>
      <c r="G660" s="25">
        <v>0</v>
      </c>
      <c r="H660" s="25">
        <f t="shared" si="646"/>
        <v>0</v>
      </c>
      <c r="I660" s="25">
        <f t="shared" si="647"/>
        <v>0</v>
      </c>
      <c r="J660" s="25">
        <f t="shared" si="648"/>
        <v>0</v>
      </c>
      <c r="K660" s="26" t="s">
        <v>53</v>
      </c>
      <c r="Z660" s="25">
        <f t="shared" si="649"/>
        <v>0</v>
      </c>
      <c r="AB660" s="25">
        <f t="shared" si="650"/>
        <v>0</v>
      </c>
      <c r="AC660" s="25">
        <f t="shared" si="651"/>
        <v>0</v>
      </c>
      <c r="AD660" s="25">
        <f t="shared" si="652"/>
        <v>0</v>
      </c>
      <c r="AE660" s="25">
        <f t="shared" si="653"/>
        <v>0</v>
      </c>
      <c r="AF660" s="25">
        <f t="shared" si="654"/>
        <v>0</v>
      </c>
      <c r="AG660" s="25">
        <f t="shared" si="655"/>
        <v>0</v>
      </c>
      <c r="AH660" s="25">
        <f t="shared" si="656"/>
        <v>0</v>
      </c>
      <c r="AI660" s="11" t="s">
        <v>46</v>
      </c>
      <c r="AJ660" s="25">
        <f t="shared" si="657"/>
        <v>0</v>
      </c>
      <c r="AK660" s="25">
        <f t="shared" si="658"/>
        <v>0</v>
      </c>
      <c r="AL660" s="25">
        <f t="shared" si="659"/>
        <v>0</v>
      </c>
      <c r="AN660" s="25">
        <v>21</v>
      </c>
      <c r="AO660" s="25">
        <f>G660*0.569974359</f>
        <v>0</v>
      </c>
      <c r="AP660" s="25">
        <f>G660*(1-0.569974359)</f>
        <v>0</v>
      </c>
      <c r="AQ660" s="27" t="s">
        <v>58</v>
      </c>
      <c r="AV660" s="25">
        <f t="shared" si="660"/>
        <v>0</v>
      </c>
      <c r="AW660" s="25">
        <f t="shared" si="661"/>
        <v>0</v>
      </c>
      <c r="AX660" s="25">
        <f t="shared" si="662"/>
        <v>0</v>
      </c>
      <c r="AY660" s="27" t="s">
        <v>1835</v>
      </c>
      <c r="AZ660" s="27" t="s">
        <v>305</v>
      </c>
      <c r="BA660" s="11" t="s">
        <v>56</v>
      </c>
      <c r="BC660" s="25">
        <f t="shared" si="663"/>
        <v>0</v>
      </c>
      <c r="BD660" s="25">
        <f t="shared" si="664"/>
        <v>0</v>
      </c>
      <c r="BE660" s="25">
        <v>0</v>
      </c>
      <c r="BF660" s="25">
        <f>660</f>
        <v>660</v>
      </c>
      <c r="BH660" s="25">
        <f t="shared" si="665"/>
        <v>0</v>
      </c>
      <c r="BI660" s="25">
        <f t="shared" si="666"/>
        <v>0</v>
      </c>
      <c r="BJ660" s="25">
        <f t="shared" si="667"/>
        <v>0</v>
      </c>
      <c r="BK660" s="27" t="s">
        <v>57</v>
      </c>
      <c r="BL660" s="25"/>
      <c r="BW660" s="25">
        <v>21</v>
      </c>
      <c r="BX660" s="5" t="s">
        <v>1985</v>
      </c>
    </row>
    <row r="661" spans="1:76" x14ac:dyDescent="0.25">
      <c r="A661" s="2" t="s">
        <v>1986</v>
      </c>
      <c r="B661" s="3" t="s">
        <v>1987</v>
      </c>
      <c r="C661" s="93" t="s">
        <v>1988</v>
      </c>
      <c r="D661" s="94"/>
      <c r="E661" s="3" t="s">
        <v>52</v>
      </c>
      <c r="F661" s="25">
        <v>208</v>
      </c>
      <c r="G661" s="25">
        <v>0</v>
      </c>
      <c r="H661" s="25">
        <f t="shared" si="646"/>
        <v>0</v>
      </c>
      <c r="I661" s="25">
        <f t="shared" si="647"/>
        <v>0</v>
      </c>
      <c r="J661" s="25">
        <f t="shared" si="648"/>
        <v>0</v>
      </c>
      <c r="K661" s="26" t="s">
        <v>53</v>
      </c>
      <c r="Z661" s="25">
        <f t="shared" si="649"/>
        <v>0</v>
      </c>
      <c r="AB661" s="25">
        <f t="shared" si="650"/>
        <v>0</v>
      </c>
      <c r="AC661" s="25">
        <f t="shared" si="651"/>
        <v>0</v>
      </c>
      <c r="AD661" s="25">
        <f t="shared" si="652"/>
        <v>0</v>
      </c>
      <c r="AE661" s="25">
        <f t="shared" si="653"/>
        <v>0</v>
      </c>
      <c r="AF661" s="25">
        <f t="shared" si="654"/>
        <v>0</v>
      </c>
      <c r="AG661" s="25">
        <f t="shared" si="655"/>
        <v>0</v>
      </c>
      <c r="AH661" s="25">
        <f t="shared" si="656"/>
        <v>0</v>
      </c>
      <c r="AI661" s="11" t="s">
        <v>46</v>
      </c>
      <c r="AJ661" s="25">
        <f t="shared" si="657"/>
        <v>0</v>
      </c>
      <c r="AK661" s="25">
        <f t="shared" si="658"/>
        <v>0</v>
      </c>
      <c r="AL661" s="25">
        <f t="shared" si="659"/>
        <v>0</v>
      </c>
      <c r="AN661" s="25">
        <v>21</v>
      </c>
      <c r="AO661" s="25">
        <f>G661*0.569993441</f>
        <v>0</v>
      </c>
      <c r="AP661" s="25">
        <f>G661*(1-0.569993441)</f>
        <v>0</v>
      </c>
      <c r="AQ661" s="27" t="s">
        <v>58</v>
      </c>
      <c r="AV661" s="25">
        <f t="shared" si="660"/>
        <v>0</v>
      </c>
      <c r="AW661" s="25">
        <f t="shared" si="661"/>
        <v>0</v>
      </c>
      <c r="AX661" s="25">
        <f t="shared" si="662"/>
        <v>0</v>
      </c>
      <c r="AY661" s="27" t="s">
        <v>1835</v>
      </c>
      <c r="AZ661" s="27" t="s">
        <v>305</v>
      </c>
      <c r="BA661" s="11" t="s">
        <v>56</v>
      </c>
      <c r="BC661" s="25">
        <f t="shared" si="663"/>
        <v>0</v>
      </c>
      <c r="BD661" s="25">
        <f t="shared" si="664"/>
        <v>0</v>
      </c>
      <c r="BE661" s="25">
        <v>0</v>
      </c>
      <c r="BF661" s="25">
        <f>661</f>
        <v>661</v>
      </c>
      <c r="BH661" s="25">
        <f t="shared" si="665"/>
        <v>0</v>
      </c>
      <c r="BI661" s="25">
        <f t="shared" si="666"/>
        <v>0</v>
      </c>
      <c r="BJ661" s="25">
        <f t="shared" si="667"/>
        <v>0</v>
      </c>
      <c r="BK661" s="27" t="s">
        <v>57</v>
      </c>
      <c r="BL661" s="25"/>
      <c r="BW661" s="25">
        <v>21</v>
      </c>
      <c r="BX661" s="5" t="s">
        <v>1988</v>
      </c>
    </row>
    <row r="662" spans="1:76" ht="25.5" x14ac:dyDescent="0.25">
      <c r="A662" s="2" t="s">
        <v>1989</v>
      </c>
      <c r="B662" s="3" t="s">
        <v>1990</v>
      </c>
      <c r="C662" s="93" t="s">
        <v>1991</v>
      </c>
      <c r="D662" s="94"/>
      <c r="E662" s="3" t="s">
        <v>52</v>
      </c>
      <c r="F662" s="25">
        <v>64</v>
      </c>
      <c r="G662" s="25">
        <v>0</v>
      </c>
      <c r="H662" s="25">
        <f t="shared" si="646"/>
        <v>0</v>
      </c>
      <c r="I662" s="25">
        <f t="shared" si="647"/>
        <v>0</v>
      </c>
      <c r="J662" s="25">
        <f t="shared" si="648"/>
        <v>0</v>
      </c>
      <c r="K662" s="26" t="s">
        <v>53</v>
      </c>
      <c r="Z662" s="25">
        <f t="shared" si="649"/>
        <v>0</v>
      </c>
      <c r="AB662" s="25">
        <f t="shared" si="650"/>
        <v>0</v>
      </c>
      <c r="AC662" s="25">
        <f t="shared" si="651"/>
        <v>0</v>
      </c>
      <c r="AD662" s="25">
        <f t="shared" si="652"/>
        <v>0</v>
      </c>
      <c r="AE662" s="25">
        <f t="shared" si="653"/>
        <v>0</v>
      </c>
      <c r="AF662" s="25">
        <f t="shared" si="654"/>
        <v>0</v>
      </c>
      <c r="AG662" s="25">
        <f t="shared" si="655"/>
        <v>0</v>
      </c>
      <c r="AH662" s="25">
        <f t="shared" si="656"/>
        <v>0</v>
      </c>
      <c r="AI662" s="11" t="s">
        <v>46</v>
      </c>
      <c r="AJ662" s="25">
        <f t="shared" si="657"/>
        <v>0</v>
      </c>
      <c r="AK662" s="25">
        <f t="shared" si="658"/>
        <v>0</v>
      </c>
      <c r="AL662" s="25">
        <f t="shared" si="659"/>
        <v>0</v>
      </c>
      <c r="AN662" s="25">
        <v>21</v>
      </c>
      <c r="AO662" s="25">
        <f>G662*0.570005734</f>
        <v>0</v>
      </c>
      <c r="AP662" s="25">
        <f>G662*(1-0.570005734)</f>
        <v>0</v>
      </c>
      <c r="AQ662" s="27" t="s">
        <v>58</v>
      </c>
      <c r="AV662" s="25">
        <f t="shared" si="660"/>
        <v>0</v>
      </c>
      <c r="AW662" s="25">
        <f t="shared" si="661"/>
        <v>0</v>
      </c>
      <c r="AX662" s="25">
        <f t="shared" si="662"/>
        <v>0</v>
      </c>
      <c r="AY662" s="27" t="s">
        <v>1835</v>
      </c>
      <c r="AZ662" s="27" t="s">
        <v>305</v>
      </c>
      <c r="BA662" s="11" t="s">
        <v>56</v>
      </c>
      <c r="BC662" s="25">
        <f t="shared" si="663"/>
        <v>0</v>
      </c>
      <c r="BD662" s="25">
        <f t="shared" si="664"/>
        <v>0</v>
      </c>
      <c r="BE662" s="25">
        <v>0</v>
      </c>
      <c r="BF662" s="25">
        <f>662</f>
        <v>662</v>
      </c>
      <c r="BH662" s="25">
        <f t="shared" si="665"/>
        <v>0</v>
      </c>
      <c r="BI662" s="25">
        <f t="shared" si="666"/>
        <v>0</v>
      </c>
      <c r="BJ662" s="25">
        <f t="shared" si="667"/>
        <v>0</v>
      </c>
      <c r="BK662" s="27" t="s">
        <v>57</v>
      </c>
      <c r="BL662" s="25"/>
      <c r="BW662" s="25">
        <v>21</v>
      </c>
      <c r="BX662" s="5" t="s">
        <v>1991</v>
      </c>
    </row>
    <row r="663" spans="1:76" x14ac:dyDescent="0.25">
      <c r="A663" s="2" t="s">
        <v>1992</v>
      </c>
      <c r="B663" s="3" t="s">
        <v>1993</v>
      </c>
      <c r="C663" s="93" t="s">
        <v>1994</v>
      </c>
      <c r="D663" s="94"/>
      <c r="E663" s="3" t="s">
        <v>52</v>
      </c>
      <c r="F663" s="25">
        <v>21</v>
      </c>
      <c r="G663" s="25">
        <v>0</v>
      </c>
      <c r="H663" s="25">
        <f t="shared" si="646"/>
        <v>0</v>
      </c>
      <c r="I663" s="25">
        <f t="shared" si="647"/>
        <v>0</v>
      </c>
      <c r="J663" s="25">
        <f t="shared" si="648"/>
        <v>0</v>
      </c>
      <c r="K663" s="26" t="s">
        <v>53</v>
      </c>
      <c r="Z663" s="25">
        <f t="shared" si="649"/>
        <v>0</v>
      </c>
      <c r="AB663" s="25">
        <f t="shared" si="650"/>
        <v>0</v>
      </c>
      <c r="AC663" s="25">
        <f t="shared" si="651"/>
        <v>0</v>
      </c>
      <c r="AD663" s="25">
        <f t="shared" si="652"/>
        <v>0</v>
      </c>
      <c r="AE663" s="25">
        <f t="shared" si="653"/>
        <v>0</v>
      </c>
      <c r="AF663" s="25">
        <f t="shared" si="654"/>
        <v>0</v>
      </c>
      <c r="AG663" s="25">
        <f t="shared" si="655"/>
        <v>0</v>
      </c>
      <c r="AH663" s="25">
        <f t="shared" si="656"/>
        <v>0</v>
      </c>
      <c r="AI663" s="11" t="s">
        <v>46</v>
      </c>
      <c r="AJ663" s="25">
        <f t="shared" si="657"/>
        <v>0</v>
      </c>
      <c r="AK663" s="25">
        <f t="shared" si="658"/>
        <v>0</v>
      </c>
      <c r="AL663" s="25">
        <f t="shared" si="659"/>
        <v>0</v>
      </c>
      <c r="AN663" s="25">
        <v>21</v>
      </c>
      <c r="AO663" s="25">
        <f>G663*0.569999745</f>
        <v>0</v>
      </c>
      <c r="AP663" s="25">
        <f>G663*(1-0.569999745)</f>
        <v>0</v>
      </c>
      <c r="AQ663" s="27" t="s">
        <v>58</v>
      </c>
      <c r="AV663" s="25">
        <f t="shared" si="660"/>
        <v>0</v>
      </c>
      <c r="AW663" s="25">
        <f t="shared" si="661"/>
        <v>0</v>
      </c>
      <c r="AX663" s="25">
        <f t="shared" si="662"/>
        <v>0</v>
      </c>
      <c r="AY663" s="27" t="s">
        <v>1835</v>
      </c>
      <c r="AZ663" s="27" t="s">
        <v>305</v>
      </c>
      <c r="BA663" s="11" t="s">
        <v>56</v>
      </c>
      <c r="BC663" s="25">
        <f t="shared" si="663"/>
        <v>0</v>
      </c>
      <c r="BD663" s="25">
        <f t="shared" si="664"/>
        <v>0</v>
      </c>
      <c r="BE663" s="25">
        <v>0</v>
      </c>
      <c r="BF663" s="25">
        <f>663</f>
        <v>663</v>
      </c>
      <c r="BH663" s="25">
        <f t="shared" si="665"/>
        <v>0</v>
      </c>
      <c r="BI663" s="25">
        <f t="shared" si="666"/>
        <v>0</v>
      </c>
      <c r="BJ663" s="25">
        <f t="shared" si="667"/>
        <v>0</v>
      </c>
      <c r="BK663" s="27" t="s">
        <v>57</v>
      </c>
      <c r="BL663" s="25"/>
      <c r="BW663" s="25">
        <v>21</v>
      </c>
      <c r="BX663" s="5" t="s">
        <v>1994</v>
      </c>
    </row>
    <row r="664" spans="1:76" x14ac:dyDescent="0.25">
      <c r="A664" s="2" t="s">
        <v>1995</v>
      </c>
      <c r="B664" s="3" t="s">
        <v>1996</v>
      </c>
      <c r="C664" s="93" t="s">
        <v>1997</v>
      </c>
      <c r="D664" s="94"/>
      <c r="E664" s="3" t="s">
        <v>52</v>
      </c>
      <c r="F664" s="25">
        <v>2</v>
      </c>
      <c r="G664" s="25">
        <v>0</v>
      </c>
      <c r="H664" s="25">
        <f t="shared" si="646"/>
        <v>0</v>
      </c>
      <c r="I664" s="25">
        <f t="shared" si="647"/>
        <v>0</v>
      </c>
      <c r="J664" s="25">
        <f t="shared" si="648"/>
        <v>0</v>
      </c>
      <c r="K664" s="26" t="s">
        <v>53</v>
      </c>
      <c r="Z664" s="25">
        <f t="shared" si="649"/>
        <v>0</v>
      </c>
      <c r="AB664" s="25">
        <f t="shared" si="650"/>
        <v>0</v>
      </c>
      <c r="AC664" s="25">
        <f t="shared" si="651"/>
        <v>0</v>
      </c>
      <c r="AD664" s="25">
        <f t="shared" si="652"/>
        <v>0</v>
      </c>
      <c r="AE664" s="25">
        <f t="shared" si="653"/>
        <v>0</v>
      </c>
      <c r="AF664" s="25">
        <f t="shared" si="654"/>
        <v>0</v>
      </c>
      <c r="AG664" s="25">
        <f t="shared" si="655"/>
        <v>0</v>
      </c>
      <c r="AH664" s="25">
        <f t="shared" si="656"/>
        <v>0</v>
      </c>
      <c r="AI664" s="11" t="s">
        <v>46</v>
      </c>
      <c r="AJ664" s="25">
        <f t="shared" si="657"/>
        <v>0</v>
      </c>
      <c r="AK664" s="25">
        <f t="shared" si="658"/>
        <v>0</v>
      </c>
      <c r="AL664" s="25">
        <f t="shared" si="659"/>
        <v>0</v>
      </c>
      <c r="AN664" s="25">
        <v>21</v>
      </c>
      <c r="AO664" s="25">
        <f>G664*0.570021352</f>
        <v>0</v>
      </c>
      <c r="AP664" s="25">
        <f>G664*(1-0.570021352)</f>
        <v>0</v>
      </c>
      <c r="AQ664" s="27" t="s">
        <v>58</v>
      </c>
      <c r="AV664" s="25">
        <f t="shared" si="660"/>
        <v>0</v>
      </c>
      <c r="AW664" s="25">
        <f t="shared" si="661"/>
        <v>0</v>
      </c>
      <c r="AX664" s="25">
        <f t="shared" si="662"/>
        <v>0</v>
      </c>
      <c r="AY664" s="27" t="s">
        <v>1835</v>
      </c>
      <c r="AZ664" s="27" t="s">
        <v>305</v>
      </c>
      <c r="BA664" s="11" t="s">
        <v>56</v>
      </c>
      <c r="BC664" s="25">
        <f t="shared" si="663"/>
        <v>0</v>
      </c>
      <c r="BD664" s="25">
        <f t="shared" si="664"/>
        <v>0</v>
      </c>
      <c r="BE664" s="25">
        <v>0</v>
      </c>
      <c r="BF664" s="25">
        <f>664</f>
        <v>664</v>
      </c>
      <c r="BH664" s="25">
        <f t="shared" si="665"/>
        <v>0</v>
      </c>
      <c r="BI664" s="25">
        <f t="shared" si="666"/>
        <v>0</v>
      </c>
      <c r="BJ664" s="25">
        <f t="shared" si="667"/>
        <v>0</v>
      </c>
      <c r="BK664" s="27" t="s">
        <v>57</v>
      </c>
      <c r="BL664" s="25"/>
      <c r="BW664" s="25">
        <v>21</v>
      </c>
      <c r="BX664" s="5" t="s">
        <v>1997</v>
      </c>
    </row>
    <row r="665" spans="1:76" x14ac:dyDescent="0.25">
      <c r="A665" s="2" t="s">
        <v>1998</v>
      </c>
      <c r="B665" s="3" t="s">
        <v>1999</v>
      </c>
      <c r="C665" s="93" t="s">
        <v>2000</v>
      </c>
      <c r="D665" s="94"/>
      <c r="E665" s="3" t="s">
        <v>52</v>
      </c>
      <c r="F665" s="25">
        <v>1</v>
      </c>
      <c r="G665" s="25">
        <v>0</v>
      </c>
      <c r="H665" s="25">
        <f t="shared" si="646"/>
        <v>0</v>
      </c>
      <c r="I665" s="25">
        <f t="shared" si="647"/>
        <v>0</v>
      </c>
      <c r="J665" s="25">
        <f t="shared" si="648"/>
        <v>0</v>
      </c>
      <c r="K665" s="26" t="s">
        <v>53</v>
      </c>
      <c r="Z665" s="25">
        <f t="shared" si="649"/>
        <v>0</v>
      </c>
      <c r="AB665" s="25">
        <f t="shared" si="650"/>
        <v>0</v>
      </c>
      <c r="AC665" s="25">
        <f t="shared" si="651"/>
        <v>0</v>
      </c>
      <c r="AD665" s="25">
        <f t="shared" si="652"/>
        <v>0</v>
      </c>
      <c r="AE665" s="25">
        <f t="shared" si="653"/>
        <v>0</v>
      </c>
      <c r="AF665" s="25">
        <f t="shared" si="654"/>
        <v>0</v>
      </c>
      <c r="AG665" s="25">
        <f t="shared" si="655"/>
        <v>0</v>
      </c>
      <c r="AH665" s="25">
        <f t="shared" si="656"/>
        <v>0</v>
      </c>
      <c r="AI665" s="11" t="s">
        <v>46</v>
      </c>
      <c r="AJ665" s="25">
        <f t="shared" si="657"/>
        <v>0</v>
      </c>
      <c r="AK665" s="25">
        <f t="shared" si="658"/>
        <v>0</v>
      </c>
      <c r="AL665" s="25">
        <f t="shared" si="659"/>
        <v>0</v>
      </c>
      <c r="AN665" s="25">
        <v>21</v>
      </c>
      <c r="AO665" s="25">
        <f>G665*0.569940222</f>
        <v>0</v>
      </c>
      <c r="AP665" s="25">
        <f>G665*(1-0.569940222)</f>
        <v>0</v>
      </c>
      <c r="AQ665" s="27" t="s">
        <v>58</v>
      </c>
      <c r="AV665" s="25">
        <f t="shared" si="660"/>
        <v>0</v>
      </c>
      <c r="AW665" s="25">
        <f t="shared" si="661"/>
        <v>0</v>
      </c>
      <c r="AX665" s="25">
        <f t="shared" si="662"/>
        <v>0</v>
      </c>
      <c r="AY665" s="27" t="s">
        <v>1835</v>
      </c>
      <c r="AZ665" s="27" t="s">
        <v>305</v>
      </c>
      <c r="BA665" s="11" t="s">
        <v>56</v>
      </c>
      <c r="BC665" s="25">
        <f t="shared" si="663"/>
        <v>0</v>
      </c>
      <c r="BD665" s="25">
        <f t="shared" si="664"/>
        <v>0</v>
      </c>
      <c r="BE665" s="25">
        <v>0</v>
      </c>
      <c r="BF665" s="25">
        <f>665</f>
        <v>665</v>
      </c>
      <c r="BH665" s="25">
        <f t="shared" si="665"/>
        <v>0</v>
      </c>
      <c r="BI665" s="25">
        <f t="shared" si="666"/>
        <v>0</v>
      </c>
      <c r="BJ665" s="25">
        <f t="shared" si="667"/>
        <v>0</v>
      </c>
      <c r="BK665" s="27" t="s">
        <v>57</v>
      </c>
      <c r="BL665" s="25"/>
      <c r="BW665" s="25">
        <v>21</v>
      </c>
      <c r="BX665" s="5" t="s">
        <v>2000</v>
      </c>
    </row>
    <row r="666" spans="1:76" x14ac:dyDescent="0.25">
      <c r="A666" s="2" t="s">
        <v>2001</v>
      </c>
      <c r="B666" s="3" t="s">
        <v>2002</v>
      </c>
      <c r="C666" s="93" t="s">
        <v>2003</v>
      </c>
      <c r="D666" s="94"/>
      <c r="E666" s="3" t="s">
        <v>52</v>
      </c>
      <c r="F666" s="25">
        <v>4</v>
      </c>
      <c r="G666" s="25">
        <v>0</v>
      </c>
      <c r="H666" s="25">
        <f t="shared" si="646"/>
        <v>0</v>
      </c>
      <c r="I666" s="25">
        <f t="shared" si="647"/>
        <v>0</v>
      </c>
      <c r="J666" s="25">
        <f t="shared" si="648"/>
        <v>0</v>
      </c>
      <c r="K666" s="26" t="s">
        <v>53</v>
      </c>
      <c r="Z666" s="25">
        <f t="shared" si="649"/>
        <v>0</v>
      </c>
      <c r="AB666" s="25">
        <f t="shared" si="650"/>
        <v>0</v>
      </c>
      <c r="AC666" s="25">
        <f t="shared" si="651"/>
        <v>0</v>
      </c>
      <c r="AD666" s="25">
        <f t="shared" si="652"/>
        <v>0</v>
      </c>
      <c r="AE666" s="25">
        <f t="shared" si="653"/>
        <v>0</v>
      </c>
      <c r="AF666" s="25">
        <f t="shared" si="654"/>
        <v>0</v>
      </c>
      <c r="AG666" s="25">
        <f t="shared" si="655"/>
        <v>0</v>
      </c>
      <c r="AH666" s="25">
        <f t="shared" si="656"/>
        <v>0</v>
      </c>
      <c r="AI666" s="11" t="s">
        <v>46</v>
      </c>
      <c r="AJ666" s="25">
        <f t="shared" si="657"/>
        <v>0</v>
      </c>
      <c r="AK666" s="25">
        <f t="shared" si="658"/>
        <v>0</v>
      </c>
      <c r="AL666" s="25">
        <f t="shared" si="659"/>
        <v>0</v>
      </c>
      <c r="AN666" s="25">
        <v>21</v>
      </c>
      <c r="AO666" s="25">
        <f>G666*0.569990843</f>
        <v>0</v>
      </c>
      <c r="AP666" s="25">
        <f>G666*(1-0.569990843)</f>
        <v>0</v>
      </c>
      <c r="AQ666" s="27" t="s">
        <v>58</v>
      </c>
      <c r="AV666" s="25">
        <f t="shared" si="660"/>
        <v>0</v>
      </c>
      <c r="AW666" s="25">
        <f t="shared" si="661"/>
        <v>0</v>
      </c>
      <c r="AX666" s="25">
        <f t="shared" si="662"/>
        <v>0</v>
      </c>
      <c r="AY666" s="27" t="s">
        <v>1835</v>
      </c>
      <c r="AZ666" s="27" t="s">
        <v>305</v>
      </c>
      <c r="BA666" s="11" t="s">
        <v>56</v>
      </c>
      <c r="BC666" s="25">
        <f t="shared" si="663"/>
        <v>0</v>
      </c>
      <c r="BD666" s="25">
        <f t="shared" si="664"/>
        <v>0</v>
      </c>
      <c r="BE666" s="25">
        <v>0</v>
      </c>
      <c r="BF666" s="25">
        <f>666</f>
        <v>666</v>
      </c>
      <c r="BH666" s="25">
        <f t="shared" si="665"/>
        <v>0</v>
      </c>
      <c r="BI666" s="25">
        <f t="shared" si="666"/>
        <v>0</v>
      </c>
      <c r="BJ666" s="25">
        <f t="shared" si="667"/>
        <v>0</v>
      </c>
      <c r="BK666" s="27" t="s">
        <v>57</v>
      </c>
      <c r="BL666" s="25"/>
      <c r="BW666" s="25">
        <v>21</v>
      </c>
      <c r="BX666" s="5" t="s">
        <v>2003</v>
      </c>
    </row>
    <row r="667" spans="1:76" x14ac:dyDescent="0.25">
      <c r="A667" s="2" t="s">
        <v>2004</v>
      </c>
      <c r="B667" s="3" t="s">
        <v>2005</v>
      </c>
      <c r="C667" s="93" t="s">
        <v>2006</v>
      </c>
      <c r="D667" s="94"/>
      <c r="E667" s="3" t="s">
        <v>52</v>
      </c>
      <c r="F667" s="25">
        <v>4</v>
      </c>
      <c r="G667" s="25">
        <v>0</v>
      </c>
      <c r="H667" s="25">
        <f t="shared" si="646"/>
        <v>0</v>
      </c>
      <c r="I667" s="25">
        <f t="shared" si="647"/>
        <v>0</v>
      </c>
      <c r="J667" s="25">
        <f t="shared" si="648"/>
        <v>0</v>
      </c>
      <c r="K667" s="26" t="s">
        <v>53</v>
      </c>
      <c r="Z667" s="25">
        <f t="shared" si="649"/>
        <v>0</v>
      </c>
      <c r="AB667" s="25">
        <f t="shared" si="650"/>
        <v>0</v>
      </c>
      <c r="AC667" s="25">
        <f t="shared" si="651"/>
        <v>0</v>
      </c>
      <c r="AD667" s="25">
        <f t="shared" si="652"/>
        <v>0</v>
      </c>
      <c r="AE667" s="25">
        <f t="shared" si="653"/>
        <v>0</v>
      </c>
      <c r="AF667" s="25">
        <f t="shared" si="654"/>
        <v>0</v>
      </c>
      <c r="AG667" s="25">
        <f t="shared" si="655"/>
        <v>0</v>
      </c>
      <c r="AH667" s="25">
        <f t="shared" si="656"/>
        <v>0</v>
      </c>
      <c r="AI667" s="11" t="s">
        <v>46</v>
      </c>
      <c r="AJ667" s="25">
        <f t="shared" si="657"/>
        <v>0</v>
      </c>
      <c r="AK667" s="25">
        <f t="shared" si="658"/>
        <v>0</v>
      </c>
      <c r="AL667" s="25">
        <f t="shared" si="659"/>
        <v>0</v>
      </c>
      <c r="AN667" s="25">
        <v>21</v>
      </c>
      <c r="AO667" s="25">
        <f>G667*0.570005389</f>
        <v>0</v>
      </c>
      <c r="AP667" s="25">
        <f>G667*(1-0.570005389)</f>
        <v>0</v>
      </c>
      <c r="AQ667" s="27" t="s">
        <v>58</v>
      </c>
      <c r="AV667" s="25">
        <f t="shared" si="660"/>
        <v>0</v>
      </c>
      <c r="AW667" s="25">
        <f t="shared" si="661"/>
        <v>0</v>
      </c>
      <c r="AX667" s="25">
        <f t="shared" si="662"/>
        <v>0</v>
      </c>
      <c r="AY667" s="27" t="s">
        <v>1835</v>
      </c>
      <c r="AZ667" s="27" t="s">
        <v>305</v>
      </c>
      <c r="BA667" s="11" t="s">
        <v>56</v>
      </c>
      <c r="BC667" s="25">
        <f t="shared" si="663"/>
        <v>0</v>
      </c>
      <c r="BD667" s="25">
        <f t="shared" si="664"/>
        <v>0</v>
      </c>
      <c r="BE667" s="25">
        <v>0</v>
      </c>
      <c r="BF667" s="25">
        <f>667</f>
        <v>667</v>
      </c>
      <c r="BH667" s="25">
        <f t="shared" si="665"/>
        <v>0</v>
      </c>
      <c r="BI667" s="25">
        <f t="shared" si="666"/>
        <v>0</v>
      </c>
      <c r="BJ667" s="25">
        <f t="shared" si="667"/>
        <v>0</v>
      </c>
      <c r="BK667" s="27" t="s">
        <v>57</v>
      </c>
      <c r="BL667" s="25"/>
      <c r="BW667" s="25">
        <v>21</v>
      </c>
      <c r="BX667" s="5" t="s">
        <v>2006</v>
      </c>
    </row>
    <row r="668" spans="1:76" x14ac:dyDescent="0.25">
      <c r="A668" s="2" t="s">
        <v>2007</v>
      </c>
      <c r="B668" s="3" t="s">
        <v>2008</v>
      </c>
      <c r="C668" s="93" t="s">
        <v>2009</v>
      </c>
      <c r="D668" s="94"/>
      <c r="E668" s="3" t="s">
        <v>52</v>
      </c>
      <c r="F668" s="25">
        <v>1</v>
      </c>
      <c r="G668" s="25">
        <v>0</v>
      </c>
      <c r="H668" s="25">
        <f t="shared" si="646"/>
        <v>0</v>
      </c>
      <c r="I668" s="25">
        <f t="shared" si="647"/>
        <v>0</v>
      </c>
      <c r="J668" s="25">
        <f t="shared" si="648"/>
        <v>0</v>
      </c>
      <c r="K668" s="26" t="s">
        <v>53</v>
      </c>
      <c r="Z668" s="25">
        <f t="shared" si="649"/>
        <v>0</v>
      </c>
      <c r="AB668" s="25">
        <f t="shared" si="650"/>
        <v>0</v>
      </c>
      <c r="AC668" s="25">
        <f t="shared" si="651"/>
        <v>0</v>
      </c>
      <c r="AD668" s="25">
        <f t="shared" si="652"/>
        <v>0</v>
      </c>
      <c r="AE668" s="25">
        <f t="shared" si="653"/>
        <v>0</v>
      </c>
      <c r="AF668" s="25">
        <f t="shared" si="654"/>
        <v>0</v>
      </c>
      <c r="AG668" s="25">
        <f t="shared" si="655"/>
        <v>0</v>
      </c>
      <c r="AH668" s="25">
        <f t="shared" si="656"/>
        <v>0</v>
      </c>
      <c r="AI668" s="11" t="s">
        <v>46</v>
      </c>
      <c r="AJ668" s="25">
        <f t="shared" si="657"/>
        <v>0</v>
      </c>
      <c r="AK668" s="25">
        <f t="shared" si="658"/>
        <v>0</v>
      </c>
      <c r="AL668" s="25">
        <f t="shared" si="659"/>
        <v>0</v>
      </c>
      <c r="AN668" s="25">
        <v>21</v>
      </c>
      <c r="AO668" s="25">
        <f>G668*0.569976172</f>
        <v>0</v>
      </c>
      <c r="AP668" s="25">
        <f>G668*(1-0.569976172)</f>
        <v>0</v>
      </c>
      <c r="AQ668" s="27" t="s">
        <v>58</v>
      </c>
      <c r="AV668" s="25">
        <f t="shared" si="660"/>
        <v>0</v>
      </c>
      <c r="AW668" s="25">
        <f t="shared" si="661"/>
        <v>0</v>
      </c>
      <c r="AX668" s="25">
        <f t="shared" si="662"/>
        <v>0</v>
      </c>
      <c r="AY668" s="27" t="s">
        <v>1835</v>
      </c>
      <c r="AZ668" s="27" t="s">
        <v>305</v>
      </c>
      <c r="BA668" s="11" t="s">
        <v>56</v>
      </c>
      <c r="BC668" s="25">
        <f t="shared" si="663"/>
        <v>0</v>
      </c>
      <c r="BD668" s="25">
        <f t="shared" si="664"/>
        <v>0</v>
      </c>
      <c r="BE668" s="25">
        <v>0</v>
      </c>
      <c r="BF668" s="25">
        <f>668</f>
        <v>668</v>
      </c>
      <c r="BH668" s="25">
        <f t="shared" si="665"/>
        <v>0</v>
      </c>
      <c r="BI668" s="25">
        <f t="shared" si="666"/>
        <v>0</v>
      </c>
      <c r="BJ668" s="25">
        <f t="shared" si="667"/>
        <v>0</v>
      </c>
      <c r="BK668" s="27" t="s">
        <v>57</v>
      </c>
      <c r="BL668" s="25"/>
      <c r="BW668" s="25">
        <v>21</v>
      </c>
      <c r="BX668" s="5" t="s">
        <v>2009</v>
      </c>
    </row>
    <row r="669" spans="1:76" ht="25.5" x14ac:dyDescent="0.25">
      <c r="A669" s="2" t="s">
        <v>2010</v>
      </c>
      <c r="B669" s="3" t="s">
        <v>2011</v>
      </c>
      <c r="C669" s="93" t="s">
        <v>2012</v>
      </c>
      <c r="D669" s="94"/>
      <c r="E669" s="3" t="s">
        <v>52</v>
      </c>
      <c r="F669" s="25">
        <v>13</v>
      </c>
      <c r="G669" s="25">
        <v>0</v>
      </c>
      <c r="H669" s="25">
        <f t="shared" si="646"/>
        <v>0</v>
      </c>
      <c r="I669" s="25">
        <f t="shared" si="647"/>
        <v>0</v>
      </c>
      <c r="J669" s="25">
        <f t="shared" si="648"/>
        <v>0</v>
      </c>
      <c r="K669" s="26" t="s">
        <v>53</v>
      </c>
      <c r="Z669" s="25">
        <f t="shared" si="649"/>
        <v>0</v>
      </c>
      <c r="AB669" s="25">
        <f t="shared" si="650"/>
        <v>0</v>
      </c>
      <c r="AC669" s="25">
        <f t="shared" si="651"/>
        <v>0</v>
      </c>
      <c r="AD669" s="25">
        <f t="shared" si="652"/>
        <v>0</v>
      </c>
      <c r="AE669" s="25">
        <f t="shared" si="653"/>
        <v>0</v>
      </c>
      <c r="AF669" s="25">
        <f t="shared" si="654"/>
        <v>0</v>
      </c>
      <c r="AG669" s="25">
        <f t="shared" si="655"/>
        <v>0</v>
      </c>
      <c r="AH669" s="25">
        <f t="shared" si="656"/>
        <v>0</v>
      </c>
      <c r="AI669" s="11" t="s">
        <v>46</v>
      </c>
      <c r="AJ669" s="25">
        <f t="shared" si="657"/>
        <v>0</v>
      </c>
      <c r="AK669" s="25">
        <f t="shared" si="658"/>
        <v>0</v>
      </c>
      <c r="AL669" s="25">
        <f t="shared" si="659"/>
        <v>0</v>
      </c>
      <c r="AN669" s="25">
        <v>21</v>
      </c>
      <c r="AO669" s="25">
        <f>G669*0.569999176</f>
        <v>0</v>
      </c>
      <c r="AP669" s="25">
        <f>G669*(1-0.569999176)</f>
        <v>0</v>
      </c>
      <c r="AQ669" s="27" t="s">
        <v>58</v>
      </c>
      <c r="AV669" s="25">
        <f t="shared" si="660"/>
        <v>0</v>
      </c>
      <c r="AW669" s="25">
        <f t="shared" si="661"/>
        <v>0</v>
      </c>
      <c r="AX669" s="25">
        <f t="shared" si="662"/>
        <v>0</v>
      </c>
      <c r="AY669" s="27" t="s">
        <v>1835</v>
      </c>
      <c r="AZ669" s="27" t="s">
        <v>305</v>
      </c>
      <c r="BA669" s="11" t="s">
        <v>56</v>
      </c>
      <c r="BC669" s="25">
        <f t="shared" si="663"/>
        <v>0</v>
      </c>
      <c r="BD669" s="25">
        <f t="shared" si="664"/>
        <v>0</v>
      </c>
      <c r="BE669" s="25">
        <v>0</v>
      </c>
      <c r="BF669" s="25">
        <f>669</f>
        <v>669</v>
      </c>
      <c r="BH669" s="25">
        <f t="shared" si="665"/>
        <v>0</v>
      </c>
      <c r="BI669" s="25">
        <f t="shared" si="666"/>
        <v>0</v>
      </c>
      <c r="BJ669" s="25">
        <f t="shared" si="667"/>
        <v>0</v>
      </c>
      <c r="BK669" s="27" t="s">
        <v>57</v>
      </c>
      <c r="BL669" s="25"/>
      <c r="BW669" s="25">
        <v>21</v>
      </c>
      <c r="BX669" s="5" t="s">
        <v>2012</v>
      </c>
    </row>
    <row r="670" spans="1:76" x14ac:dyDescent="0.25">
      <c r="A670" s="2" t="s">
        <v>2013</v>
      </c>
      <c r="B670" s="3" t="s">
        <v>2014</v>
      </c>
      <c r="C670" s="93" t="s">
        <v>2015</v>
      </c>
      <c r="D670" s="94"/>
      <c r="E670" s="3" t="s">
        <v>52</v>
      </c>
      <c r="F670" s="25">
        <v>1</v>
      </c>
      <c r="G670" s="25">
        <v>0</v>
      </c>
      <c r="H670" s="25">
        <f t="shared" si="646"/>
        <v>0</v>
      </c>
      <c r="I670" s="25">
        <f t="shared" si="647"/>
        <v>0</v>
      </c>
      <c r="J670" s="25">
        <f t="shared" si="648"/>
        <v>0</v>
      </c>
      <c r="K670" s="26" t="s">
        <v>53</v>
      </c>
      <c r="Z670" s="25">
        <f t="shared" si="649"/>
        <v>0</v>
      </c>
      <c r="AB670" s="25">
        <f t="shared" si="650"/>
        <v>0</v>
      </c>
      <c r="AC670" s="25">
        <f t="shared" si="651"/>
        <v>0</v>
      </c>
      <c r="AD670" s="25">
        <f t="shared" si="652"/>
        <v>0</v>
      </c>
      <c r="AE670" s="25">
        <f t="shared" si="653"/>
        <v>0</v>
      </c>
      <c r="AF670" s="25">
        <f t="shared" si="654"/>
        <v>0</v>
      </c>
      <c r="AG670" s="25">
        <f t="shared" si="655"/>
        <v>0</v>
      </c>
      <c r="AH670" s="25">
        <f t="shared" si="656"/>
        <v>0</v>
      </c>
      <c r="AI670" s="11" t="s">
        <v>46</v>
      </c>
      <c r="AJ670" s="25">
        <f t="shared" si="657"/>
        <v>0</v>
      </c>
      <c r="AK670" s="25">
        <f t="shared" si="658"/>
        <v>0</v>
      </c>
      <c r="AL670" s="25">
        <f t="shared" si="659"/>
        <v>0</v>
      </c>
      <c r="AN670" s="25">
        <v>21</v>
      </c>
      <c r="AO670" s="25">
        <f>G670*0.570005802</f>
        <v>0</v>
      </c>
      <c r="AP670" s="25">
        <f>G670*(1-0.570005802)</f>
        <v>0</v>
      </c>
      <c r="AQ670" s="27" t="s">
        <v>58</v>
      </c>
      <c r="AV670" s="25">
        <f t="shared" si="660"/>
        <v>0</v>
      </c>
      <c r="AW670" s="25">
        <f t="shared" si="661"/>
        <v>0</v>
      </c>
      <c r="AX670" s="25">
        <f t="shared" si="662"/>
        <v>0</v>
      </c>
      <c r="AY670" s="27" t="s">
        <v>1835</v>
      </c>
      <c r="AZ670" s="27" t="s">
        <v>305</v>
      </c>
      <c r="BA670" s="11" t="s">
        <v>56</v>
      </c>
      <c r="BC670" s="25">
        <f t="shared" si="663"/>
        <v>0</v>
      </c>
      <c r="BD670" s="25">
        <f t="shared" si="664"/>
        <v>0</v>
      </c>
      <c r="BE670" s="25">
        <v>0</v>
      </c>
      <c r="BF670" s="25">
        <f>670</f>
        <v>670</v>
      </c>
      <c r="BH670" s="25">
        <f t="shared" si="665"/>
        <v>0</v>
      </c>
      <c r="BI670" s="25">
        <f t="shared" si="666"/>
        <v>0</v>
      </c>
      <c r="BJ670" s="25">
        <f t="shared" si="667"/>
        <v>0</v>
      </c>
      <c r="BK670" s="27" t="s">
        <v>57</v>
      </c>
      <c r="BL670" s="25"/>
      <c r="BW670" s="25">
        <v>21</v>
      </c>
      <c r="BX670" s="5" t="s">
        <v>2015</v>
      </c>
    </row>
    <row r="671" spans="1:76" x14ac:dyDescent="0.25">
      <c r="A671" s="2" t="s">
        <v>2016</v>
      </c>
      <c r="B671" s="3" t="s">
        <v>2017</v>
      </c>
      <c r="C671" s="93" t="s">
        <v>2018</v>
      </c>
      <c r="D671" s="94"/>
      <c r="E671" s="3" t="s">
        <v>52</v>
      </c>
      <c r="F671" s="25">
        <v>1</v>
      </c>
      <c r="G671" s="25">
        <v>0</v>
      </c>
      <c r="H671" s="25">
        <f t="shared" si="646"/>
        <v>0</v>
      </c>
      <c r="I671" s="25">
        <f t="shared" si="647"/>
        <v>0</v>
      </c>
      <c r="J671" s="25">
        <f t="shared" si="648"/>
        <v>0</v>
      </c>
      <c r="K671" s="26" t="s">
        <v>53</v>
      </c>
      <c r="Z671" s="25">
        <f t="shared" si="649"/>
        <v>0</v>
      </c>
      <c r="AB671" s="25">
        <f t="shared" si="650"/>
        <v>0</v>
      </c>
      <c r="AC671" s="25">
        <f t="shared" si="651"/>
        <v>0</v>
      </c>
      <c r="AD671" s="25">
        <f t="shared" si="652"/>
        <v>0</v>
      </c>
      <c r="AE671" s="25">
        <f t="shared" si="653"/>
        <v>0</v>
      </c>
      <c r="AF671" s="25">
        <f t="shared" si="654"/>
        <v>0</v>
      </c>
      <c r="AG671" s="25">
        <f t="shared" si="655"/>
        <v>0</v>
      </c>
      <c r="AH671" s="25">
        <f t="shared" si="656"/>
        <v>0</v>
      </c>
      <c r="AI671" s="11" t="s">
        <v>46</v>
      </c>
      <c r="AJ671" s="25">
        <f t="shared" si="657"/>
        <v>0</v>
      </c>
      <c r="AK671" s="25">
        <f t="shared" si="658"/>
        <v>0</v>
      </c>
      <c r="AL671" s="25">
        <f t="shared" si="659"/>
        <v>0</v>
      </c>
      <c r="AN671" s="25">
        <v>21</v>
      </c>
      <c r="AO671" s="25">
        <f>G671*0.57000384</f>
        <v>0</v>
      </c>
      <c r="AP671" s="25">
        <f>G671*(1-0.57000384)</f>
        <v>0</v>
      </c>
      <c r="AQ671" s="27" t="s">
        <v>58</v>
      </c>
      <c r="AV671" s="25">
        <f t="shared" si="660"/>
        <v>0</v>
      </c>
      <c r="AW671" s="25">
        <f t="shared" si="661"/>
        <v>0</v>
      </c>
      <c r="AX671" s="25">
        <f t="shared" si="662"/>
        <v>0</v>
      </c>
      <c r="AY671" s="27" t="s">
        <v>1835</v>
      </c>
      <c r="AZ671" s="27" t="s">
        <v>305</v>
      </c>
      <c r="BA671" s="11" t="s">
        <v>56</v>
      </c>
      <c r="BC671" s="25">
        <f t="shared" si="663"/>
        <v>0</v>
      </c>
      <c r="BD671" s="25">
        <f t="shared" si="664"/>
        <v>0</v>
      </c>
      <c r="BE671" s="25">
        <v>0</v>
      </c>
      <c r="BF671" s="25">
        <f>671</f>
        <v>671</v>
      </c>
      <c r="BH671" s="25">
        <f t="shared" si="665"/>
        <v>0</v>
      </c>
      <c r="BI671" s="25">
        <f t="shared" si="666"/>
        <v>0</v>
      </c>
      <c r="BJ671" s="25">
        <f t="shared" si="667"/>
        <v>0</v>
      </c>
      <c r="BK671" s="27" t="s">
        <v>57</v>
      </c>
      <c r="BL671" s="25"/>
      <c r="BW671" s="25">
        <v>21</v>
      </c>
      <c r="BX671" s="5" t="s">
        <v>2018</v>
      </c>
    </row>
    <row r="672" spans="1:76" ht="25.5" x14ac:dyDescent="0.25">
      <c r="A672" s="2" t="s">
        <v>2019</v>
      </c>
      <c r="B672" s="3" t="s">
        <v>2020</v>
      </c>
      <c r="C672" s="93" t="s">
        <v>2021</v>
      </c>
      <c r="D672" s="94"/>
      <c r="E672" s="3" t="s">
        <v>52</v>
      </c>
      <c r="F672" s="25">
        <v>1</v>
      </c>
      <c r="G672" s="25">
        <v>0</v>
      </c>
      <c r="H672" s="25">
        <f t="shared" si="646"/>
        <v>0</v>
      </c>
      <c r="I672" s="25">
        <f t="shared" si="647"/>
        <v>0</v>
      </c>
      <c r="J672" s="25">
        <f t="shared" si="648"/>
        <v>0</v>
      </c>
      <c r="K672" s="26" t="s">
        <v>53</v>
      </c>
      <c r="Z672" s="25">
        <f t="shared" si="649"/>
        <v>0</v>
      </c>
      <c r="AB672" s="25">
        <f t="shared" si="650"/>
        <v>0</v>
      </c>
      <c r="AC672" s="25">
        <f t="shared" si="651"/>
        <v>0</v>
      </c>
      <c r="AD672" s="25">
        <f t="shared" si="652"/>
        <v>0</v>
      </c>
      <c r="AE672" s="25">
        <f t="shared" si="653"/>
        <v>0</v>
      </c>
      <c r="AF672" s="25">
        <f t="shared" si="654"/>
        <v>0</v>
      </c>
      <c r="AG672" s="25">
        <f t="shared" si="655"/>
        <v>0</v>
      </c>
      <c r="AH672" s="25">
        <f t="shared" si="656"/>
        <v>0</v>
      </c>
      <c r="AI672" s="11" t="s">
        <v>46</v>
      </c>
      <c r="AJ672" s="25">
        <f t="shared" si="657"/>
        <v>0</v>
      </c>
      <c r="AK672" s="25">
        <f t="shared" si="658"/>
        <v>0</v>
      </c>
      <c r="AL672" s="25">
        <f t="shared" si="659"/>
        <v>0</v>
      </c>
      <c r="AN672" s="25">
        <v>21</v>
      </c>
      <c r="AO672" s="25">
        <f>G672*0.569999608</f>
        <v>0</v>
      </c>
      <c r="AP672" s="25">
        <f>G672*(1-0.569999608)</f>
        <v>0</v>
      </c>
      <c r="AQ672" s="27" t="s">
        <v>58</v>
      </c>
      <c r="AV672" s="25">
        <f t="shared" si="660"/>
        <v>0</v>
      </c>
      <c r="AW672" s="25">
        <f t="shared" si="661"/>
        <v>0</v>
      </c>
      <c r="AX672" s="25">
        <f t="shared" si="662"/>
        <v>0</v>
      </c>
      <c r="AY672" s="27" t="s">
        <v>1835</v>
      </c>
      <c r="AZ672" s="27" t="s">
        <v>305</v>
      </c>
      <c r="BA672" s="11" t="s">
        <v>56</v>
      </c>
      <c r="BC672" s="25">
        <f t="shared" si="663"/>
        <v>0</v>
      </c>
      <c r="BD672" s="25">
        <f t="shared" si="664"/>
        <v>0</v>
      </c>
      <c r="BE672" s="25">
        <v>0</v>
      </c>
      <c r="BF672" s="25">
        <f>672</f>
        <v>672</v>
      </c>
      <c r="BH672" s="25">
        <f t="shared" si="665"/>
        <v>0</v>
      </c>
      <c r="BI672" s="25">
        <f t="shared" si="666"/>
        <v>0</v>
      </c>
      <c r="BJ672" s="25">
        <f t="shared" si="667"/>
        <v>0</v>
      </c>
      <c r="BK672" s="27" t="s">
        <v>57</v>
      </c>
      <c r="BL672" s="25"/>
      <c r="BW672" s="25">
        <v>21</v>
      </c>
      <c r="BX672" s="5" t="s">
        <v>2021</v>
      </c>
    </row>
    <row r="673" spans="1:76" ht="25.5" x14ac:dyDescent="0.25">
      <c r="A673" s="2" t="s">
        <v>2022</v>
      </c>
      <c r="B673" s="3" t="s">
        <v>2023</v>
      </c>
      <c r="C673" s="93" t="s">
        <v>2024</v>
      </c>
      <c r="D673" s="94"/>
      <c r="E673" s="3" t="s">
        <v>52</v>
      </c>
      <c r="F673" s="25">
        <v>6</v>
      </c>
      <c r="G673" s="25">
        <v>0</v>
      </c>
      <c r="H673" s="25">
        <f t="shared" si="646"/>
        <v>0</v>
      </c>
      <c r="I673" s="25">
        <f t="shared" si="647"/>
        <v>0</v>
      </c>
      <c r="J673" s="25">
        <f t="shared" si="648"/>
        <v>0</v>
      </c>
      <c r="K673" s="26" t="s">
        <v>53</v>
      </c>
      <c r="Z673" s="25">
        <f t="shared" si="649"/>
        <v>0</v>
      </c>
      <c r="AB673" s="25">
        <f t="shared" si="650"/>
        <v>0</v>
      </c>
      <c r="AC673" s="25">
        <f t="shared" si="651"/>
        <v>0</v>
      </c>
      <c r="AD673" s="25">
        <f t="shared" si="652"/>
        <v>0</v>
      </c>
      <c r="AE673" s="25">
        <f t="shared" si="653"/>
        <v>0</v>
      </c>
      <c r="AF673" s="25">
        <f t="shared" si="654"/>
        <v>0</v>
      </c>
      <c r="AG673" s="25">
        <f t="shared" si="655"/>
        <v>0</v>
      </c>
      <c r="AH673" s="25">
        <f t="shared" si="656"/>
        <v>0</v>
      </c>
      <c r="AI673" s="11" t="s">
        <v>46</v>
      </c>
      <c r="AJ673" s="25">
        <f t="shared" si="657"/>
        <v>0</v>
      </c>
      <c r="AK673" s="25">
        <f t="shared" si="658"/>
        <v>0</v>
      </c>
      <c r="AL673" s="25">
        <f t="shared" si="659"/>
        <v>0</v>
      </c>
      <c r="AN673" s="25">
        <v>21</v>
      </c>
      <c r="AO673" s="25">
        <f>G673*0.569999634</f>
        <v>0</v>
      </c>
      <c r="AP673" s="25">
        <f>G673*(1-0.569999634)</f>
        <v>0</v>
      </c>
      <c r="AQ673" s="27" t="s">
        <v>58</v>
      </c>
      <c r="AV673" s="25">
        <f t="shared" si="660"/>
        <v>0</v>
      </c>
      <c r="AW673" s="25">
        <f t="shared" si="661"/>
        <v>0</v>
      </c>
      <c r="AX673" s="25">
        <f t="shared" si="662"/>
        <v>0</v>
      </c>
      <c r="AY673" s="27" t="s">
        <v>1835</v>
      </c>
      <c r="AZ673" s="27" t="s">
        <v>305</v>
      </c>
      <c r="BA673" s="11" t="s">
        <v>56</v>
      </c>
      <c r="BC673" s="25">
        <f t="shared" si="663"/>
        <v>0</v>
      </c>
      <c r="BD673" s="25">
        <f t="shared" si="664"/>
        <v>0</v>
      </c>
      <c r="BE673" s="25">
        <v>0</v>
      </c>
      <c r="BF673" s="25">
        <f>673</f>
        <v>673</v>
      </c>
      <c r="BH673" s="25">
        <f t="shared" si="665"/>
        <v>0</v>
      </c>
      <c r="BI673" s="25">
        <f t="shared" si="666"/>
        <v>0</v>
      </c>
      <c r="BJ673" s="25">
        <f t="shared" si="667"/>
        <v>0</v>
      </c>
      <c r="BK673" s="27" t="s">
        <v>57</v>
      </c>
      <c r="BL673" s="25"/>
      <c r="BW673" s="25">
        <v>21</v>
      </c>
      <c r="BX673" s="5" t="s">
        <v>2024</v>
      </c>
    </row>
    <row r="674" spans="1:76" ht="25.5" x14ac:dyDescent="0.25">
      <c r="A674" s="2" t="s">
        <v>2025</v>
      </c>
      <c r="B674" s="3" t="s">
        <v>2026</v>
      </c>
      <c r="C674" s="93" t="s">
        <v>2027</v>
      </c>
      <c r="D674" s="94"/>
      <c r="E674" s="3" t="s">
        <v>52</v>
      </c>
      <c r="F674" s="25">
        <v>4</v>
      </c>
      <c r="G674" s="25">
        <v>0</v>
      </c>
      <c r="H674" s="25">
        <f t="shared" ref="H674:H706" si="668">ROUND(F674*AO674,2)</f>
        <v>0</v>
      </c>
      <c r="I674" s="25">
        <f t="shared" ref="I674:I706" si="669">ROUND(F674*AP674,2)</f>
        <v>0</v>
      </c>
      <c r="J674" s="25">
        <f t="shared" ref="J674:J706" si="670">ROUND(F674*G674,1)</f>
        <v>0</v>
      </c>
      <c r="K674" s="26" t="s">
        <v>53</v>
      </c>
      <c r="Z674" s="25">
        <f t="shared" ref="Z674:Z706" si="671">ROUND(IF(AQ674="5",BJ674,0),2)</f>
        <v>0</v>
      </c>
      <c r="AB674" s="25">
        <f t="shared" ref="AB674:AB706" si="672">ROUND(IF(AQ674="1",BH674,0),2)</f>
        <v>0</v>
      </c>
      <c r="AC674" s="25">
        <f t="shared" ref="AC674:AC706" si="673">ROUND(IF(AQ674="1",BI674,0),2)</f>
        <v>0</v>
      </c>
      <c r="AD674" s="25">
        <f t="shared" ref="AD674:AD706" si="674">ROUND(IF(AQ674="7",BH674,0),2)</f>
        <v>0</v>
      </c>
      <c r="AE674" s="25">
        <f t="shared" ref="AE674:AE706" si="675">ROUND(IF(AQ674="7",BI674,0),2)</f>
        <v>0</v>
      </c>
      <c r="AF674" s="25">
        <f t="shared" ref="AF674:AF706" si="676">ROUND(IF(AQ674="2",BH674,0),2)</f>
        <v>0</v>
      </c>
      <c r="AG674" s="25">
        <f t="shared" ref="AG674:AG706" si="677">ROUND(IF(AQ674="2",BI674,0),2)</f>
        <v>0</v>
      </c>
      <c r="AH674" s="25">
        <f t="shared" ref="AH674:AH706" si="678">ROUND(IF(AQ674="0",BJ674,0),2)</f>
        <v>0</v>
      </c>
      <c r="AI674" s="11" t="s">
        <v>46</v>
      </c>
      <c r="AJ674" s="25">
        <f t="shared" ref="AJ674:AJ706" si="679">IF(AN674=0,J674,0)</f>
        <v>0</v>
      </c>
      <c r="AK674" s="25">
        <f t="shared" ref="AK674:AK706" si="680">IF(AN674=12,J674,0)</f>
        <v>0</v>
      </c>
      <c r="AL674" s="25">
        <f t="shared" ref="AL674:AL706" si="681">IF(AN674=21,J674,0)</f>
        <v>0</v>
      </c>
      <c r="AN674" s="25">
        <v>21</v>
      </c>
      <c r="AO674" s="25">
        <f>G674*0.570000256</f>
        <v>0</v>
      </c>
      <c r="AP674" s="25">
        <f>G674*(1-0.570000256)</f>
        <v>0</v>
      </c>
      <c r="AQ674" s="27" t="s">
        <v>58</v>
      </c>
      <c r="AV674" s="25">
        <f t="shared" ref="AV674:AV705" si="682">ROUND(AW674+AX674,2)</f>
        <v>0</v>
      </c>
      <c r="AW674" s="25">
        <f t="shared" ref="AW674:AW706" si="683">ROUND(F674*AO674,2)</f>
        <v>0</v>
      </c>
      <c r="AX674" s="25">
        <f t="shared" ref="AX674:AX706" si="684">ROUND(F674*AP674,2)</f>
        <v>0</v>
      </c>
      <c r="AY674" s="27" t="s">
        <v>1835</v>
      </c>
      <c r="AZ674" s="27" t="s">
        <v>305</v>
      </c>
      <c r="BA674" s="11" t="s">
        <v>56</v>
      </c>
      <c r="BC674" s="25">
        <f t="shared" ref="BC674:BC706" si="685">AW674+AX674</f>
        <v>0</v>
      </c>
      <c r="BD674" s="25">
        <f t="shared" ref="BD674:BD705" si="686">G674/(100-BE674)*100</f>
        <v>0</v>
      </c>
      <c r="BE674" s="25">
        <v>0</v>
      </c>
      <c r="BF674" s="25">
        <f>674</f>
        <v>674</v>
      </c>
      <c r="BH674" s="25">
        <f t="shared" ref="BH674:BH706" si="687">F674*AO674</f>
        <v>0</v>
      </c>
      <c r="BI674" s="25">
        <f t="shared" ref="BI674:BI706" si="688">F674*AP674</f>
        <v>0</v>
      </c>
      <c r="BJ674" s="25">
        <f t="shared" ref="BJ674:BJ706" si="689">F674*G674</f>
        <v>0</v>
      </c>
      <c r="BK674" s="27" t="s">
        <v>57</v>
      </c>
      <c r="BL674" s="25"/>
      <c r="BW674" s="25">
        <v>21</v>
      </c>
      <c r="BX674" s="5" t="s">
        <v>2027</v>
      </c>
    </row>
    <row r="675" spans="1:76" ht="25.5" x14ac:dyDescent="0.25">
      <c r="A675" s="2" t="s">
        <v>2028</v>
      </c>
      <c r="B675" s="3" t="s">
        <v>2029</v>
      </c>
      <c r="C675" s="93" t="s">
        <v>2030</v>
      </c>
      <c r="D675" s="94"/>
      <c r="E675" s="3" t="s">
        <v>52</v>
      </c>
      <c r="F675" s="25">
        <v>3</v>
      </c>
      <c r="G675" s="25">
        <v>0</v>
      </c>
      <c r="H675" s="25">
        <f t="shared" si="668"/>
        <v>0</v>
      </c>
      <c r="I675" s="25">
        <f t="shared" si="669"/>
        <v>0</v>
      </c>
      <c r="J675" s="25">
        <f t="shared" si="670"/>
        <v>0</v>
      </c>
      <c r="K675" s="26" t="s">
        <v>53</v>
      </c>
      <c r="Z675" s="25">
        <f t="shared" si="671"/>
        <v>0</v>
      </c>
      <c r="AB675" s="25">
        <f t="shared" si="672"/>
        <v>0</v>
      </c>
      <c r="AC675" s="25">
        <f t="shared" si="673"/>
        <v>0</v>
      </c>
      <c r="AD675" s="25">
        <f t="shared" si="674"/>
        <v>0</v>
      </c>
      <c r="AE675" s="25">
        <f t="shared" si="675"/>
        <v>0</v>
      </c>
      <c r="AF675" s="25">
        <f t="shared" si="676"/>
        <v>0</v>
      </c>
      <c r="AG675" s="25">
        <f t="shared" si="677"/>
        <v>0</v>
      </c>
      <c r="AH675" s="25">
        <f t="shared" si="678"/>
        <v>0</v>
      </c>
      <c r="AI675" s="11" t="s">
        <v>46</v>
      </c>
      <c r="AJ675" s="25">
        <f t="shared" si="679"/>
        <v>0</v>
      </c>
      <c r="AK675" s="25">
        <f t="shared" si="680"/>
        <v>0</v>
      </c>
      <c r="AL675" s="25">
        <f t="shared" si="681"/>
        <v>0</v>
      </c>
      <c r="AN675" s="25">
        <v>21</v>
      </c>
      <c r="AO675" s="25">
        <f>G675*0.570000486</f>
        <v>0</v>
      </c>
      <c r="AP675" s="25">
        <f>G675*(1-0.570000486)</f>
        <v>0</v>
      </c>
      <c r="AQ675" s="27" t="s">
        <v>58</v>
      </c>
      <c r="AV675" s="25">
        <f t="shared" si="682"/>
        <v>0</v>
      </c>
      <c r="AW675" s="25">
        <f t="shared" si="683"/>
        <v>0</v>
      </c>
      <c r="AX675" s="25">
        <f t="shared" si="684"/>
        <v>0</v>
      </c>
      <c r="AY675" s="27" t="s">
        <v>1835</v>
      </c>
      <c r="AZ675" s="27" t="s">
        <v>305</v>
      </c>
      <c r="BA675" s="11" t="s">
        <v>56</v>
      </c>
      <c r="BC675" s="25">
        <f t="shared" si="685"/>
        <v>0</v>
      </c>
      <c r="BD675" s="25">
        <f t="shared" si="686"/>
        <v>0</v>
      </c>
      <c r="BE675" s="25">
        <v>0</v>
      </c>
      <c r="BF675" s="25">
        <f>675</f>
        <v>675</v>
      </c>
      <c r="BH675" s="25">
        <f t="shared" si="687"/>
        <v>0</v>
      </c>
      <c r="BI675" s="25">
        <f t="shared" si="688"/>
        <v>0</v>
      </c>
      <c r="BJ675" s="25">
        <f t="shared" si="689"/>
        <v>0</v>
      </c>
      <c r="BK675" s="27" t="s">
        <v>57</v>
      </c>
      <c r="BL675" s="25"/>
      <c r="BW675" s="25">
        <v>21</v>
      </c>
      <c r="BX675" s="5" t="s">
        <v>2030</v>
      </c>
    </row>
    <row r="676" spans="1:76" ht="25.5" x14ac:dyDescent="0.25">
      <c r="A676" s="2" t="s">
        <v>2031</v>
      </c>
      <c r="B676" s="3" t="s">
        <v>2032</v>
      </c>
      <c r="C676" s="93" t="s">
        <v>2033</v>
      </c>
      <c r="D676" s="94"/>
      <c r="E676" s="3" t="s">
        <v>52</v>
      </c>
      <c r="F676" s="25">
        <v>15</v>
      </c>
      <c r="G676" s="25">
        <v>0</v>
      </c>
      <c r="H676" s="25">
        <f t="shared" si="668"/>
        <v>0</v>
      </c>
      <c r="I676" s="25">
        <f t="shared" si="669"/>
        <v>0</v>
      </c>
      <c r="J676" s="25">
        <f t="shared" si="670"/>
        <v>0</v>
      </c>
      <c r="K676" s="26" t="s">
        <v>53</v>
      </c>
      <c r="Z676" s="25">
        <f t="shared" si="671"/>
        <v>0</v>
      </c>
      <c r="AB676" s="25">
        <f t="shared" si="672"/>
        <v>0</v>
      </c>
      <c r="AC676" s="25">
        <f t="shared" si="673"/>
        <v>0</v>
      </c>
      <c r="AD676" s="25">
        <f t="shared" si="674"/>
        <v>0</v>
      </c>
      <c r="AE676" s="25">
        <f t="shared" si="675"/>
        <v>0</v>
      </c>
      <c r="AF676" s="25">
        <f t="shared" si="676"/>
        <v>0</v>
      </c>
      <c r="AG676" s="25">
        <f t="shared" si="677"/>
        <v>0</v>
      </c>
      <c r="AH676" s="25">
        <f t="shared" si="678"/>
        <v>0</v>
      </c>
      <c r="AI676" s="11" t="s">
        <v>46</v>
      </c>
      <c r="AJ676" s="25">
        <f t="shared" si="679"/>
        <v>0</v>
      </c>
      <c r="AK676" s="25">
        <f t="shared" si="680"/>
        <v>0</v>
      </c>
      <c r="AL676" s="25">
        <f t="shared" si="681"/>
        <v>0</v>
      </c>
      <c r="AN676" s="25">
        <v>21</v>
      </c>
      <c r="AO676" s="25">
        <f>G676*0.57</f>
        <v>0</v>
      </c>
      <c r="AP676" s="25">
        <f>G676*(1-0.57)</f>
        <v>0</v>
      </c>
      <c r="AQ676" s="27" t="s">
        <v>58</v>
      </c>
      <c r="AV676" s="25">
        <f t="shared" si="682"/>
        <v>0</v>
      </c>
      <c r="AW676" s="25">
        <f t="shared" si="683"/>
        <v>0</v>
      </c>
      <c r="AX676" s="25">
        <f t="shared" si="684"/>
        <v>0</v>
      </c>
      <c r="AY676" s="27" t="s">
        <v>1835</v>
      </c>
      <c r="AZ676" s="27" t="s">
        <v>305</v>
      </c>
      <c r="BA676" s="11" t="s">
        <v>56</v>
      </c>
      <c r="BC676" s="25">
        <f t="shared" si="685"/>
        <v>0</v>
      </c>
      <c r="BD676" s="25">
        <f t="shared" si="686"/>
        <v>0</v>
      </c>
      <c r="BE676" s="25">
        <v>0</v>
      </c>
      <c r="BF676" s="25">
        <f>676</f>
        <v>676</v>
      </c>
      <c r="BH676" s="25">
        <f t="shared" si="687"/>
        <v>0</v>
      </c>
      <c r="BI676" s="25">
        <f t="shared" si="688"/>
        <v>0</v>
      </c>
      <c r="BJ676" s="25">
        <f t="shared" si="689"/>
        <v>0</v>
      </c>
      <c r="BK676" s="27" t="s">
        <v>57</v>
      </c>
      <c r="BL676" s="25"/>
      <c r="BW676" s="25">
        <v>21</v>
      </c>
      <c r="BX676" s="5" t="s">
        <v>2033</v>
      </c>
    </row>
    <row r="677" spans="1:76" ht="25.5" x14ac:dyDescent="0.25">
      <c r="A677" s="2" t="s">
        <v>2034</v>
      </c>
      <c r="B677" s="3" t="s">
        <v>2035</v>
      </c>
      <c r="C677" s="93" t="s">
        <v>2036</v>
      </c>
      <c r="D677" s="94"/>
      <c r="E677" s="3" t="s">
        <v>52</v>
      </c>
      <c r="F677" s="25">
        <v>11</v>
      </c>
      <c r="G677" s="25">
        <v>0</v>
      </c>
      <c r="H677" s="25">
        <f t="shared" si="668"/>
        <v>0</v>
      </c>
      <c r="I677" s="25">
        <f t="shared" si="669"/>
        <v>0</v>
      </c>
      <c r="J677" s="25">
        <f t="shared" si="670"/>
        <v>0</v>
      </c>
      <c r="K677" s="26" t="s">
        <v>53</v>
      </c>
      <c r="Z677" s="25">
        <f t="shared" si="671"/>
        <v>0</v>
      </c>
      <c r="AB677" s="25">
        <f t="shared" si="672"/>
        <v>0</v>
      </c>
      <c r="AC677" s="25">
        <f t="shared" si="673"/>
        <v>0</v>
      </c>
      <c r="AD677" s="25">
        <f t="shared" si="674"/>
        <v>0</v>
      </c>
      <c r="AE677" s="25">
        <f t="shared" si="675"/>
        <v>0</v>
      </c>
      <c r="AF677" s="25">
        <f t="shared" si="676"/>
        <v>0</v>
      </c>
      <c r="AG677" s="25">
        <f t="shared" si="677"/>
        <v>0</v>
      </c>
      <c r="AH677" s="25">
        <f t="shared" si="678"/>
        <v>0</v>
      </c>
      <c r="AI677" s="11" t="s">
        <v>46</v>
      </c>
      <c r="AJ677" s="25">
        <f t="shared" si="679"/>
        <v>0</v>
      </c>
      <c r="AK677" s="25">
        <f t="shared" si="680"/>
        <v>0</v>
      </c>
      <c r="AL677" s="25">
        <f t="shared" si="681"/>
        <v>0</v>
      </c>
      <c r="AN677" s="25">
        <v>21</v>
      </c>
      <c r="AO677" s="25">
        <f>G677*0.569999897</f>
        <v>0</v>
      </c>
      <c r="AP677" s="25">
        <f>G677*(1-0.569999897)</f>
        <v>0</v>
      </c>
      <c r="AQ677" s="27" t="s">
        <v>58</v>
      </c>
      <c r="AV677" s="25">
        <f t="shared" si="682"/>
        <v>0</v>
      </c>
      <c r="AW677" s="25">
        <f t="shared" si="683"/>
        <v>0</v>
      </c>
      <c r="AX677" s="25">
        <f t="shared" si="684"/>
        <v>0</v>
      </c>
      <c r="AY677" s="27" t="s">
        <v>1835</v>
      </c>
      <c r="AZ677" s="27" t="s">
        <v>305</v>
      </c>
      <c r="BA677" s="11" t="s">
        <v>56</v>
      </c>
      <c r="BC677" s="25">
        <f t="shared" si="685"/>
        <v>0</v>
      </c>
      <c r="BD677" s="25">
        <f t="shared" si="686"/>
        <v>0</v>
      </c>
      <c r="BE677" s="25">
        <v>0</v>
      </c>
      <c r="BF677" s="25">
        <f>677</f>
        <v>677</v>
      </c>
      <c r="BH677" s="25">
        <f t="shared" si="687"/>
        <v>0</v>
      </c>
      <c r="BI677" s="25">
        <f t="shared" si="688"/>
        <v>0</v>
      </c>
      <c r="BJ677" s="25">
        <f t="shared" si="689"/>
        <v>0</v>
      </c>
      <c r="BK677" s="27" t="s">
        <v>57</v>
      </c>
      <c r="BL677" s="25"/>
      <c r="BW677" s="25">
        <v>21</v>
      </c>
      <c r="BX677" s="5" t="s">
        <v>2036</v>
      </c>
    </row>
    <row r="678" spans="1:76" ht="25.5" x14ac:dyDescent="0.25">
      <c r="A678" s="2" t="s">
        <v>2037</v>
      </c>
      <c r="B678" s="3" t="s">
        <v>2038</v>
      </c>
      <c r="C678" s="93" t="s">
        <v>2039</v>
      </c>
      <c r="D678" s="94"/>
      <c r="E678" s="3" t="s">
        <v>52</v>
      </c>
      <c r="F678" s="25">
        <v>6</v>
      </c>
      <c r="G678" s="25">
        <v>0</v>
      </c>
      <c r="H678" s="25">
        <f t="shared" si="668"/>
        <v>0</v>
      </c>
      <c r="I678" s="25">
        <f t="shared" si="669"/>
        <v>0</v>
      </c>
      <c r="J678" s="25">
        <f t="shared" si="670"/>
        <v>0</v>
      </c>
      <c r="K678" s="26" t="s">
        <v>53</v>
      </c>
      <c r="Z678" s="25">
        <f t="shared" si="671"/>
        <v>0</v>
      </c>
      <c r="AB678" s="25">
        <f t="shared" si="672"/>
        <v>0</v>
      </c>
      <c r="AC678" s="25">
        <f t="shared" si="673"/>
        <v>0</v>
      </c>
      <c r="AD678" s="25">
        <f t="shared" si="674"/>
        <v>0</v>
      </c>
      <c r="AE678" s="25">
        <f t="shared" si="675"/>
        <v>0</v>
      </c>
      <c r="AF678" s="25">
        <f t="shared" si="676"/>
        <v>0</v>
      </c>
      <c r="AG678" s="25">
        <f t="shared" si="677"/>
        <v>0</v>
      </c>
      <c r="AH678" s="25">
        <f t="shared" si="678"/>
        <v>0</v>
      </c>
      <c r="AI678" s="11" t="s">
        <v>46</v>
      </c>
      <c r="AJ678" s="25">
        <f t="shared" si="679"/>
        <v>0</v>
      </c>
      <c r="AK678" s="25">
        <f t="shared" si="680"/>
        <v>0</v>
      </c>
      <c r="AL678" s="25">
        <f t="shared" si="681"/>
        <v>0</v>
      </c>
      <c r="AN678" s="25">
        <v>21</v>
      </c>
      <c r="AO678" s="25">
        <f>G678*0.57</f>
        <v>0</v>
      </c>
      <c r="AP678" s="25">
        <f>G678*(1-0.57)</f>
        <v>0</v>
      </c>
      <c r="AQ678" s="27" t="s">
        <v>58</v>
      </c>
      <c r="AV678" s="25">
        <f t="shared" si="682"/>
        <v>0</v>
      </c>
      <c r="AW678" s="25">
        <f t="shared" si="683"/>
        <v>0</v>
      </c>
      <c r="AX678" s="25">
        <f t="shared" si="684"/>
        <v>0</v>
      </c>
      <c r="AY678" s="27" t="s">
        <v>1835</v>
      </c>
      <c r="AZ678" s="27" t="s">
        <v>305</v>
      </c>
      <c r="BA678" s="11" t="s">
        <v>56</v>
      </c>
      <c r="BC678" s="25">
        <f t="shared" si="685"/>
        <v>0</v>
      </c>
      <c r="BD678" s="25">
        <f t="shared" si="686"/>
        <v>0</v>
      </c>
      <c r="BE678" s="25">
        <v>0</v>
      </c>
      <c r="BF678" s="25">
        <f>678</f>
        <v>678</v>
      </c>
      <c r="BH678" s="25">
        <f t="shared" si="687"/>
        <v>0</v>
      </c>
      <c r="BI678" s="25">
        <f t="shared" si="688"/>
        <v>0</v>
      </c>
      <c r="BJ678" s="25">
        <f t="shared" si="689"/>
        <v>0</v>
      </c>
      <c r="BK678" s="27" t="s">
        <v>57</v>
      </c>
      <c r="BL678" s="25"/>
      <c r="BW678" s="25">
        <v>21</v>
      </c>
      <c r="BX678" s="5" t="s">
        <v>2039</v>
      </c>
    </row>
    <row r="679" spans="1:76" ht="25.5" x14ac:dyDescent="0.25">
      <c r="A679" s="2" t="s">
        <v>2040</v>
      </c>
      <c r="B679" s="3" t="s">
        <v>2041</v>
      </c>
      <c r="C679" s="93" t="s">
        <v>2042</v>
      </c>
      <c r="D679" s="94"/>
      <c r="E679" s="3" t="s">
        <v>52</v>
      </c>
      <c r="F679" s="25">
        <v>52</v>
      </c>
      <c r="G679" s="25">
        <v>0</v>
      </c>
      <c r="H679" s="25">
        <f t="shared" si="668"/>
        <v>0</v>
      </c>
      <c r="I679" s="25">
        <f t="shared" si="669"/>
        <v>0</v>
      </c>
      <c r="J679" s="25">
        <f t="shared" si="670"/>
        <v>0</v>
      </c>
      <c r="K679" s="26" t="s">
        <v>53</v>
      </c>
      <c r="Z679" s="25">
        <f t="shared" si="671"/>
        <v>0</v>
      </c>
      <c r="AB679" s="25">
        <f t="shared" si="672"/>
        <v>0</v>
      </c>
      <c r="AC679" s="25">
        <f t="shared" si="673"/>
        <v>0</v>
      </c>
      <c r="AD679" s="25">
        <f t="shared" si="674"/>
        <v>0</v>
      </c>
      <c r="AE679" s="25">
        <f t="shared" si="675"/>
        <v>0</v>
      </c>
      <c r="AF679" s="25">
        <f t="shared" si="676"/>
        <v>0</v>
      </c>
      <c r="AG679" s="25">
        <f t="shared" si="677"/>
        <v>0</v>
      </c>
      <c r="AH679" s="25">
        <f t="shared" si="678"/>
        <v>0</v>
      </c>
      <c r="AI679" s="11" t="s">
        <v>46</v>
      </c>
      <c r="AJ679" s="25">
        <f t="shared" si="679"/>
        <v>0</v>
      </c>
      <c r="AK679" s="25">
        <f t="shared" si="680"/>
        <v>0</v>
      </c>
      <c r="AL679" s="25">
        <f t="shared" si="681"/>
        <v>0</v>
      </c>
      <c r="AN679" s="25">
        <v>21</v>
      </c>
      <c r="AO679" s="25">
        <f>G679*0.57000001</f>
        <v>0</v>
      </c>
      <c r="AP679" s="25">
        <f>G679*(1-0.57000001)</f>
        <v>0</v>
      </c>
      <c r="AQ679" s="27" t="s">
        <v>58</v>
      </c>
      <c r="AV679" s="25">
        <f t="shared" si="682"/>
        <v>0</v>
      </c>
      <c r="AW679" s="25">
        <f t="shared" si="683"/>
        <v>0</v>
      </c>
      <c r="AX679" s="25">
        <f t="shared" si="684"/>
        <v>0</v>
      </c>
      <c r="AY679" s="27" t="s">
        <v>1835</v>
      </c>
      <c r="AZ679" s="27" t="s">
        <v>305</v>
      </c>
      <c r="BA679" s="11" t="s">
        <v>56</v>
      </c>
      <c r="BC679" s="25">
        <f t="shared" si="685"/>
        <v>0</v>
      </c>
      <c r="BD679" s="25">
        <f t="shared" si="686"/>
        <v>0</v>
      </c>
      <c r="BE679" s="25">
        <v>0</v>
      </c>
      <c r="BF679" s="25">
        <f>679</f>
        <v>679</v>
      </c>
      <c r="BH679" s="25">
        <f t="shared" si="687"/>
        <v>0</v>
      </c>
      <c r="BI679" s="25">
        <f t="shared" si="688"/>
        <v>0</v>
      </c>
      <c r="BJ679" s="25">
        <f t="shared" si="689"/>
        <v>0</v>
      </c>
      <c r="BK679" s="27" t="s">
        <v>57</v>
      </c>
      <c r="BL679" s="25"/>
      <c r="BW679" s="25">
        <v>21</v>
      </c>
      <c r="BX679" s="5" t="s">
        <v>2042</v>
      </c>
    </row>
    <row r="680" spans="1:76" ht="25.5" x14ac:dyDescent="0.25">
      <c r="A680" s="2" t="s">
        <v>2043</v>
      </c>
      <c r="B680" s="3" t="s">
        <v>2044</v>
      </c>
      <c r="C680" s="93" t="s">
        <v>2045</v>
      </c>
      <c r="D680" s="94"/>
      <c r="E680" s="3" t="s">
        <v>52</v>
      </c>
      <c r="F680" s="25">
        <v>1</v>
      </c>
      <c r="G680" s="25">
        <v>0</v>
      </c>
      <c r="H680" s="25">
        <f t="shared" si="668"/>
        <v>0</v>
      </c>
      <c r="I680" s="25">
        <f t="shared" si="669"/>
        <v>0</v>
      </c>
      <c r="J680" s="25">
        <f t="shared" si="670"/>
        <v>0</v>
      </c>
      <c r="K680" s="26" t="s">
        <v>53</v>
      </c>
      <c r="Z680" s="25">
        <f t="shared" si="671"/>
        <v>0</v>
      </c>
      <c r="AB680" s="25">
        <f t="shared" si="672"/>
        <v>0</v>
      </c>
      <c r="AC680" s="25">
        <f t="shared" si="673"/>
        <v>0</v>
      </c>
      <c r="AD680" s="25">
        <f t="shared" si="674"/>
        <v>0</v>
      </c>
      <c r="AE680" s="25">
        <f t="shared" si="675"/>
        <v>0</v>
      </c>
      <c r="AF680" s="25">
        <f t="shared" si="676"/>
        <v>0</v>
      </c>
      <c r="AG680" s="25">
        <f t="shared" si="677"/>
        <v>0</v>
      </c>
      <c r="AH680" s="25">
        <f t="shared" si="678"/>
        <v>0</v>
      </c>
      <c r="AI680" s="11" t="s">
        <v>46</v>
      </c>
      <c r="AJ680" s="25">
        <f t="shared" si="679"/>
        <v>0</v>
      </c>
      <c r="AK680" s="25">
        <f t="shared" si="680"/>
        <v>0</v>
      </c>
      <c r="AL680" s="25">
        <f t="shared" si="681"/>
        <v>0</v>
      </c>
      <c r="AN680" s="25">
        <v>21</v>
      </c>
      <c r="AO680" s="25">
        <f>G680*0.570002313</f>
        <v>0</v>
      </c>
      <c r="AP680" s="25">
        <f>G680*(1-0.570002313)</f>
        <v>0</v>
      </c>
      <c r="AQ680" s="27" t="s">
        <v>58</v>
      </c>
      <c r="AV680" s="25">
        <f t="shared" si="682"/>
        <v>0</v>
      </c>
      <c r="AW680" s="25">
        <f t="shared" si="683"/>
        <v>0</v>
      </c>
      <c r="AX680" s="25">
        <f t="shared" si="684"/>
        <v>0</v>
      </c>
      <c r="AY680" s="27" t="s">
        <v>1835</v>
      </c>
      <c r="AZ680" s="27" t="s">
        <v>305</v>
      </c>
      <c r="BA680" s="11" t="s">
        <v>56</v>
      </c>
      <c r="BC680" s="25">
        <f t="shared" si="685"/>
        <v>0</v>
      </c>
      <c r="BD680" s="25">
        <f t="shared" si="686"/>
        <v>0</v>
      </c>
      <c r="BE680" s="25">
        <v>0</v>
      </c>
      <c r="BF680" s="25">
        <f>680</f>
        <v>680</v>
      </c>
      <c r="BH680" s="25">
        <f t="shared" si="687"/>
        <v>0</v>
      </c>
      <c r="BI680" s="25">
        <f t="shared" si="688"/>
        <v>0</v>
      </c>
      <c r="BJ680" s="25">
        <f t="shared" si="689"/>
        <v>0</v>
      </c>
      <c r="BK680" s="27" t="s">
        <v>57</v>
      </c>
      <c r="BL680" s="25"/>
      <c r="BW680" s="25">
        <v>21</v>
      </c>
      <c r="BX680" s="5" t="s">
        <v>2045</v>
      </c>
    </row>
    <row r="681" spans="1:76" x14ac:dyDescent="0.25">
      <c r="A681" s="2" t="s">
        <v>2046</v>
      </c>
      <c r="B681" s="3" t="s">
        <v>2047</v>
      </c>
      <c r="C681" s="93" t="s">
        <v>2048</v>
      </c>
      <c r="D681" s="94"/>
      <c r="E681" s="3" t="s">
        <v>52</v>
      </c>
      <c r="F681" s="25">
        <v>6</v>
      </c>
      <c r="G681" s="25">
        <v>0</v>
      </c>
      <c r="H681" s="25">
        <f t="shared" si="668"/>
        <v>0</v>
      </c>
      <c r="I681" s="25">
        <f t="shared" si="669"/>
        <v>0</v>
      </c>
      <c r="J681" s="25">
        <f t="shared" si="670"/>
        <v>0</v>
      </c>
      <c r="K681" s="26" t="s">
        <v>53</v>
      </c>
      <c r="Z681" s="25">
        <f t="shared" si="671"/>
        <v>0</v>
      </c>
      <c r="AB681" s="25">
        <f t="shared" si="672"/>
        <v>0</v>
      </c>
      <c r="AC681" s="25">
        <f t="shared" si="673"/>
        <v>0</v>
      </c>
      <c r="AD681" s="25">
        <f t="shared" si="674"/>
        <v>0</v>
      </c>
      <c r="AE681" s="25">
        <f t="shared" si="675"/>
        <v>0</v>
      </c>
      <c r="AF681" s="25">
        <f t="shared" si="676"/>
        <v>0</v>
      </c>
      <c r="AG681" s="25">
        <f t="shared" si="677"/>
        <v>0</v>
      </c>
      <c r="AH681" s="25">
        <f t="shared" si="678"/>
        <v>0</v>
      </c>
      <c r="AI681" s="11" t="s">
        <v>46</v>
      </c>
      <c r="AJ681" s="25">
        <f t="shared" si="679"/>
        <v>0</v>
      </c>
      <c r="AK681" s="25">
        <f t="shared" si="680"/>
        <v>0</v>
      </c>
      <c r="AL681" s="25">
        <f t="shared" si="681"/>
        <v>0</v>
      </c>
      <c r="AN681" s="25">
        <v>21</v>
      </c>
      <c r="AO681" s="25">
        <f>G681*0.570000264</f>
        <v>0</v>
      </c>
      <c r="AP681" s="25">
        <f>G681*(1-0.570000264)</f>
        <v>0</v>
      </c>
      <c r="AQ681" s="27" t="s">
        <v>58</v>
      </c>
      <c r="AV681" s="25">
        <f t="shared" si="682"/>
        <v>0</v>
      </c>
      <c r="AW681" s="25">
        <f t="shared" si="683"/>
        <v>0</v>
      </c>
      <c r="AX681" s="25">
        <f t="shared" si="684"/>
        <v>0</v>
      </c>
      <c r="AY681" s="27" t="s">
        <v>1835</v>
      </c>
      <c r="AZ681" s="27" t="s">
        <v>305</v>
      </c>
      <c r="BA681" s="11" t="s">
        <v>56</v>
      </c>
      <c r="BC681" s="25">
        <f t="shared" si="685"/>
        <v>0</v>
      </c>
      <c r="BD681" s="25">
        <f t="shared" si="686"/>
        <v>0</v>
      </c>
      <c r="BE681" s="25">
        <v>0</v>
      </c>
      <c r="BF681" s="25">
        <f>681</f>
        <v>681</v>
      </c>
      <c r="BH681" s="25">
        <f t="shared" si="687"/>
        <v>0</v>
      </c>
      <c r="BI681" s="25">
        <f t="shared" si="688"/>
        <v>0</v>
      </c>
      <c r="BJ681" s="25">
        <f t="shared" si="689"/>
        <v>0</v>
      </c>
      <c r="BK681" s="27" t="s">
        <v>57</v>
      </c>
      <c r="BL681" s="25"/>
      <c r="BW681" s="25">
        <v>21</v>
      </c>
      <c r="BX681" s="5" t="s">
        <v>2048</v>
      </c>
    </row>
    <row r="682" spans="1:76" x14ac:dyDescent="0.25">
      <c r="A682" s="2" t="s">
        <v>2049</v>
      </c>
      <c r="B682" s="3" t="s">
        <v>2050</v>
      </c>
      <c r="C682" s="93" t="s">
        <v>2051</v>
      </c>
      <c r="D682" s="94"/>
      <c r="E682" s="3" t="s">
        <v>52</v>
      </c>
      <c r="F682" s="25">
        <v>2</v>
      </c>
      <c r="G682" s="25">
        <v>0</v>
      </c>
      <c r="H682" s="25">
        <f t="shared" si="668"/>
        <v>0</v>
      </c>
      <c r="I682" s="25">
        <f t="shared" si="669"/>
        <v>0</v>
      </c>
      <c r="J682" s="25">
        <f t="shared" si="670"/>
        <v>0</v>
      </c>
      <c r="K682" s="26" t="s">
        <v>53</v>
      </c>
      <c r="Z682" s="25">
        <f t="shared" si="671"/>
        <v>0</v>
      </c>
      <c r="AB682" s="25">
        <f t="shared" si="672"/>
        <v>0</v>
      </c>
      <c r="AC682" s="25">
        <f t="shared" si="673"/>
        <v>0</v>
      </c>
      <c r="AD682" s="25">
        <f t="shared" si="674"/>
        <v>0</v>
      </c>
      <c r="AE682" s="25">
        <f t="shared" si="675"/>
        <v>0</v>
      </c>
      <c r="AF682" s="25">
        <f t="shared" si="676"/>
        <v>0</v>
      </c>
      <c r="AG682" s="25">
        <f t="shared" si="677"/>
        <v>0</v>
      </c>
      <c r="AH682" s="25">
        <f t="shared" si="678"/>
        <v>0</v>
      </c>
      <c r="AI682" s="11" t="s">
        <v>46</v>
      </c>
      <c r="AJ682" s="25">
        <f t="shared" si="679"/>
        <v>0</v>
      </c>
      <c r="AK682" s="25">
        <f t="shared" si="680"/>
        <v>0</v>
      </c>
      <c r="AL682" s="25">
        <f t="shared" si="681"/>
        <v>0</v>
      </c>
      <c r="AN682" s="25">
        <v>21</v>
      </c>
      <c r="AO682" s="25">
        <f>G682*0.570000744</f>
        <v>0</v>
      </c>
      <c r="AP682" s="25">
        <f>G682*(1-0.570000744)</f>
        <v>0</v>
      </c>
      <c r="AQ682" s="27" t="s">
        <v>58</v>
      </c>
      <c r="AV682" s="25">
        <f t="shared" si="682"/>
        <v>0</v>
      </c>
      <c r="AW682" s="25">
        <f t="shared" si="683"/>
        <v>0</v>
      </c>
      <c r="AX682" s="25">
        <f t="shared" si="684"/>
        <v>0</v>
      </c>
      <c r="AY682" s="27" t="s">
        <v>1835</v>
      </c>
      <c r="AZ682" s="27" t="s">
        <v>305</v>
      </c>
      <c r="BA682" s="11" t="s">
        <v>56</v>
      </c>
      <c r="BC682" s="25">
        <f t="shared" si="685"/>
        <v>0</v>
      </c>
      <c r="BD682" s="25">
        <f t="shared" si="686"/>
        <v>0</v>
      </c>
      <c r="BE682" s="25">
        <v>0</v>
      </c>
      <c r="BF682" s="25">
        <f>682</f>
        <v>682</v>
      </c>
      <c r="BH682" s="25">
        <f t="shared" si="687"/>
        <v>0</v>
      </c>
      <c r="BI682" s="25">
        <f t="shared" si="688"/>
        <v>0</v>
      </c>
      <c r="BJ682" s="25">
        <f t="shared" si="689"/>
        <v>0</v>
      </c>
      <c r="BK682" s="27" t="s">
        <v>57</v>
      </c>
      <c r="BL682" s="25"/>
      <c r="BW682" s="25">
        <v>21</v>
      </c>
      <c r="BX682" s="5" t="s">
        <v>2051</v>
      </c>
    </row>
    <row r="683" spans="1:76" ht="25.5" x14ac:dyDescent="0.25">
      <c r="A683" s="2" t="s">
        <v>2052</v>
      </c>
      <c r="B683" s="3" t="s">
        <v>2053</v>
      </c>
      <c r="C683" s="93" t="s">
        <v>2054</v>
      </c>
      <c r="D683" s="94"/>
      <c r="E683" s="3" t="s">
        <v>52</v>
      </c>
      <c r="F683" s="25">
        <v>5</v>
      </c>
      <c r="G683" s="25">
        <v>0</v>
      </c>
      <c r="H683" s="25">
        <f t="shared" si="668"/>
        <v>0</v>
      </c>
      <c r="I683" s="25">
        <f t="shared" si="669"/>
        <v>0</v>
      </c>
      <c r="J683" s="25">
        <f t="shared" si="670"/>
        <v>0</v>
      </c>
      <c r="K683" s="26" t="s">
        <v>53</v>
      </c>
      <c r="Z683" s="25">
        <f t="shared" si="671"/>
        <v>0</v>
      </c>
      <c r="AB683" s="25">
        <f t="shared" si="672"/>
        <v>0</v>
      </c>
      <c r="AC683" s="25">
        <f t="shared" si="673"/>
        <v>0</v>
      </c>
      <c r="AD683" s="25">
        <f t="shared" si="674"/>
        <v>0</v>
      </c>
      <c r="AE683" s="25">
        <f t="shared" si="675"/>
        <v>0</v>
      </c>
      <c r="AF683" s="25">
        <f t="shared" si="676"/>
        <v>0</v>
      </c>
      <c r="AG683" s="25">
        <f t="shared" si="677"/>
        <v>0</v>
      </c>
      <c r="AH683" s="25">
        <f t="shared" si="678"/>
        <v>0</v>
      </c>
      <c r="AI683" s="11" t="s">
        <v>46</v>
      </c>
      <c r="AJ683" s="25">
        <f t="shared" si="679"/>
        <v>0</v>
      </c>
      <c r="AK683" s="25">
        <f t="shared" si="680"/>
        <v>0</v>
      </c>
      <c r="AL683" s="25">
        <f t="shared" si="681"/>
        <v>0</v>
      </c>
      <c r="AN683" s="25">
        <v>21</v>
      </c>
      <c r="AO683" s="25">
        <f>G683*0.57</f>
        <v>0</v>
      </c>
      <c r="AP683" s="25">
        <f>G683*(1-0.57)</f>
        <v>0</v>
      </c>
      <c r="AQ683" s="27" t="s">
        <v>58</v>
      </c>
      <c r="AV683" s="25">
        <f t="shared" si="682"/>
        <v>0</v>
      </c>
      <c r="AW683" s="25">
        <f t="shared" si="683"/>
        <v>0</v>
      </c>
      <c r="AX683" s="25">
        <f t="shared" si="684"/>
        <v>0</v>
      </c>
      <c r="AY683" s="27" t="s">
        <v>1835</v>
      </c>
      <c r="AZ683" s="27" t="s">
        <v>305</v>
      </c>
      <c r="BA683" s="11" t="s">
        <v>56</v>
      </c>
      <c r="BC683" s="25">
        <f t="shared" si="685"/>
        <v>0</v>
      </c>
      <c r="BD683" s="25">
        <f t="shared" si="686"/>
        <v>0</v>
      </c>
      <c r="BE683" s="25">
        <v>0</v>
      </c>
      <c r="BF683" s="25">
        <f>683</f>
        <v>683</v>
      </c>
      <c r="BH683" s="25">
        <f t="shared" si="687"/>
        <v>0</v>
      </c>
      <c r="BI683" s="25">
        <f t="shared" si="688"/>
        <v>0</v>
      </c>
      <c r="BJ683" s="25">
        <f t="shared" si="689"/>
        <v>0</v>
      </c>
      <c r="BK683" s="27" t="s">
        <v>57</v>
      </c>
      <c r="BL683" s="25"/>
      <c r="BW683" s="25">
        <v>21</v>
      </c>
      <c r="BX683" s="5" t="s">
        <v>2054</v>
      </c>
    </row>
    <row r="684" spans="1:76" x14ac:dyDescent="0.25">
      <c r="A684" s="2" t="s">
        <v>2055</v>
      </c>
      <c r="B684" s="3" t="s">
        <v>2056</v>
      </c>
      <c r="C684" s="93" t="s">
        <v>2057</v>
      </c>
      <c r="D684" s="94"/>
      <c r="E684" s="3" t="s">
        <v>52</v>
      </c>
      <c r="F684" s="25">
        <v>9</v>
      </c>
      <c r="G684" s="25">
        <v>0</v>
      </c>
      <c r="H684" s="25">
        <f t="shared" si="668"/>
        <v>0</v>
      </c>
      <c r="I684" s="25">
        <f t="shared" si="669"/>
        <v>0</v>
      </c>
      <c r="J684" s="25">
        <f t="shared" si="670"/>
        <v>0</v>
      </c>
      <c r="K684" s="26" t="s">
        <v>53</v>
      </c>
      <c r="Z684" s="25">
        <f t="shared" si="671"/>
        <v>0</v>
      </c>
      <c r="AB684" s="25">
        <f t="shared" si="672"/>
        <v>0</v>
      </c>
      <c r="AC684" s="25">
        <f t="shared" si="673"/>
        <v>0</v>
      </c>
      <c r="AD684" s="25">
        <f t="shared" si="674"/>
        <v>0</v>
      </c>
      <c r="AE684" s="25">
        <f t="shared" si="675"/>
        <v>0</v>
      </c>
      <c r="AF684" s="25">
        <f t="shared" si="676"/>
        <v>0</v>
      </c>
      <c r="AG684" s="25">
        <f t="shared" si="677"/>
        <v>0</v>
      </c>
      <c r="AH684" s="25">
        <f t="shared" si="678"/>
        <v>0</v>
      </c>
      <c r="AI684" s="11" t="s">
        <v>46</v>
      </c>
      <c r="AJ684" s="25">
        <f t="shared" si="679"/>
        <v>0</v>
      </c>
      <c r="AK684" s="25">
        <f t="shared" si="680"/>
        <v>0</v>
      </c>
      <c r="AL684" s="25">
        <f t="shared" si="681"/>
        <v>0</v>
      </c>
      <c r="AN684" s="25">
        <v>21</v>
      </c>
      <c r="AO684" s="25">
        <f>G684*0.57000008</f>
        <v>0</v>
      </c>
      <c r="AP684" s="25">
        <f>G684*(1-0.57000008)</f>
        <v>0</v>
      </c>
      <c r="AQ684" s="27" t="s">
        <v>58</v>
      </c>
      <c r="AV684" s="25">
        <f t="shared" si="682"/>
        <v>0</v>
      </c>
      <c r="AW684" s="25">
        <f t="shared" si="683"/>
        <v>0</v>
      </c>
      <c r="AX684" s="25">
        <f t="shared" si="684"/>
        <v>0</v>
      </c>
      <c r="AY684" s="27" t="s">
        <v>1835</v>
      </c>
      <c r="AZ684" s="27" t="s">
        <v>305</v>
      </c>
      <c r="BA684" s="11" t="s">
        <v>56</v>
      </c>
      <c r="BC684" s="25">
        <f t="shared" si="685"/>
        <v>0</v>
      </c>
      <c r="BD684" s="25">
        <f t="shared" si="686"/>
        <v>0</v>
      </c>
      <c r="BE684" s="25">
        <v>0</v>
      </c>
      <c r="BF684" s="25">
        <f>684</f>
        <v>684</v>
      </c>
      <c r="BH684" s="25">
        <f t="shared" si="687"/>
        <v>0</v>
      </c>
      <c r="BI684" s="25">
        <f t="shared" si="688"/>
        <v>0</v>
      </c>
      <c r="BJ684" s="25">
        <f t="shared" si="689"/>
        <v>0</v>
      </c>
      <c r="BK684" s="27" t="s">
        <v>57</v>
      </c>
      <c r="BL684" s="25"/>
      <c r="BW684" s="25">
        <v>21</v>
      </c>
      <c r="BX684" s="5" t="s">
        <v>2057</v>
      </c>
    </row>
    <row r="685" spans="1:76" x14ac:dyDescent="0.25">
      <c r="A685" s="2" t="s">
        <v>2058</v>
      </c>
      <c r="B685" s="3" t="s">
        <v>2059</v>
      </c>
      <c r="C685" s="93" t="s">
        <v>2060</v>
      </c>
      <c r="D685" s="94"/>
      <c r="E685" s="3" t="s">
        <v>52</v>
      </c>
      <c r="F685" s="25">
        <v>2</v>
      </c>
      <c r="G685" s="25">
        <v>0</v>
      </c>
      <c r="H685" s="25">
        <f t="shared" si="668"/>
        <v>0</v>
      </c>
      <c r="I685" s="25">
        <f t="shared" si="669"/>
        <v>0</v>
      </c>
      <c r="J685" s="25">
        <f t="shared" si="670"/>
        <v>0</v>
      </c>
      <c r="K685" s="26" t="s">
        <v>53</v>
      </c>
      <c r="Z685" s="25">
        <f t="shared" si="671"/>
        <v>0</v>
      </c>
      <c r="AB685" s="25">
        <f t="shared" si="672"/>
        <v>0</v>
      </c>
      <c r="AC685" s="25">
        <f t="shared" si="673"/>
        <v>0</v>
      </c>
      <c r="AD685" s="25">
        <f t="shared" si="674"/>
        <v>0</v>
      </c>
      <c r="AE685" s="25">
        <f t="shared" si="675"/>
        <v>0</v>
      </c>
      <c r="AF685" s="25">
        <f t="shared" si="676"/>
        <v>0</v>
      </c>
      <c r="AG685" s="25">
        <f t="shared" si="677"/>
        <v>0</v>
      </c>
      <c r="AH685" s="25">
        <f t="shared" si="678"/>
        <v>0</v>
      </c>
      <c r="AI685" s="11" t="s">
        <v>46</v>
      </c>
      <c r="AJ685" s="25">
        <f t="shared" si="679"/>
        <v>0</v>
      </c>
      <c r="AK685" s="25">
        <f t="shared" si="680"/>
        <v>0</v>
      </c>
      <c r="AL685" s="25">
        <f t="shared" si="681"/>
        <v>0</v>
      </c>
      <c r="AN685" s="25">
        <v>21</v>
      </c>
      <c r="AO685" s="25">
        <f>G685*0.57</f>
        <v>0</v>
      </c>
      <c r="AP685" s="25">
        <f>G685*(1-0.57)</f>
        <v>0</v>
      </c>
      <c r="AQ685" s="27" t="s">
        <v>58</v>
      </c>
      <c r="AV685" s="25">
        <f t="shared" si="682"/>
        <v>0</v>
      </c>
      <c r="AW685" s="25">
        <f t="shared" si="683"/>
        <v>0</v>
      </c>
      <c r="AX685" s="25">
        <f t="shared" si="684"/>
        <v>0</v>
      </c>
      <c r="AY685" s="27" t="s">
        <v>1835</v>
      </c>
      <c r="AZ685" s="27" t="s">
        <v>305</v>
      </c>
      <c r="BA685" s="11" t="s">
        <v>56</v>
      </c>
      <c r="BC685" s="25">
        <f t="shared" si="685"/>
        <v>0</v>
      </c>
      <c r="BD685" s="25">
        <f t="shared" si="686"/>
        <v>0</v>
      </c>
      <c r="BE685" s="25">
        <v>0</v>
      </c>
      <c r="BF685" s="25">
        <f>685</f>
        <v>685</v>
      </c>
      <c r="BH685" s="25">
        <f t="shared" si="687"/>
        <v>0</v>
      </c>
      <c r="BI685" s="25">
        <f t="shared" si="688"/>
        <v>0</v>
      </c>
      <c r="BJ685" s="25">
        <f t="shared" si="689"/>
        <v>0</v>
      </c>
      <c r="BK685" s="27" t="s">
        <v>57</v>
      </c>
      <c r="BL685" s="25"/>
      <c r="BW685" s="25">
        <v>21</v>
      </c>
      <c r="BX685" s="5" t="s">
        <v>2060</v>
      </c>
    </row>
    <row r="686" spans="1:76" ht="25.5" x14ac:dyDescent="0.25">
      <c r="A686" s="2" t="s">
        <v>2061</v>
      </c>
      <c r="B686" s="3" t="s">
        <v>2062</v>
      </c>
      <c r="C686" s="93" t="s">
        <v>2063</v>
      </c>
      <c r="D686" s="94"/>
      <c r="E686" s="3" t="s">
        <v>52</v>
      </c>
      <c r="F686" s="25">
        <v>1</v>
      </c>
      <c r="G686" s="25">
        <v>0</v>
      </c>
      <c r="H686" s="25">
        <f t="shared" si="668"/>
        <v>0</v>
      </c>
      <c r="I686" s="25">
        <f t="shared" si="669"/>
        <v>0</v>
      </c>
      <c r="J686" s="25">
        <f t="shared" si="670"/>
        <v>0</v>
      </c>
      <c r="K686" s="26" t="s">
        <v>53</v>
      </c>
      <c r="Z686" s="25">
        <f t="shared" si="671"/>
        <v>0</v>
      </c>
      <c r="AB686" s="25">
        <f t="shared" si="672"/>
        <v>0</v>
      </c>
      <c r="AC686" s="25">
        <f t="shared" si="673"/>
        <v>0</v>
      </c>
      <c r="AD686" s="25">
        <f t="shared" si="674"/>
        <v>0</v>
      </c>
      <c r="AE686" s="25">
        <f t="shared" si="675"/>
        <v>0</v>
      </c>
      <c r="AF686" s="25">
        <f t="shared" si="676"/>
        <v>0</v>
      </c>
      <c r="AG686" s="25">
        <f t="shared" si="677"/>
        <v>0</v>
      </c>
      <c r="AH686" s="25">
        <f t="shared" si="678"/>
        <v>0</v>
      </c>
      <c r="AI686" s="11" t="s">
        <v>46</v>
      </c>
      <c r="AJ686" s="25">
        <f t="shared" si="679"/>
        <v>0</v>
      </c>
      <c r="AK686" s="25">
        <f t="shared" si="680"/>
        <v>0</v>
      </c>
      <c r="AL686" s="25">
        <f t="shared" si="681"/>
        <v>0</v>
      </c>
      <c r="AN686" s="25">
        <v>21</v>
      </c>
      <c r="AO686" s="25">
        <f>G686*0.570001847</f>
        <v>0</v>
      </c>
      <c r="AP686" s="25">
        <f>G686*(1-0.570001847)</f>
        <v>0</v>
      </c>
      <c r="AQ686" s="27" t="s">
        <v>58</v>
      </c>
      <c r="AV686" s="25">
        <f t="shared" si="682"/>
        <v>0</v>
      </c>
      <c r="AW686" s="25">
        <f t="shared" si="683"/>
        <v>0</v>
      </c>
      <c r="AX686" s="25">
        <f t="shared" si="684"/>
        <v>0</v>
      </c>
      <c r="AY686" s="27" t="s">
        <v>1835</v>
      </c>
      <c r="AZ686" s="27" t="s">
        <v>305</v>
      </c>
      <c r="BA686" s="11" t="s">
        <v>56</v>
      </c>
      <c r="BC686" s="25">
        <f t="shared" si="685"/>
        <v>0</v>
      </c>
      <c r="BD686" s="25">
        <f t="shared" si="686"/>
        <v>0</v>
      </c>
      <c r="BE686" s="25">
        <v>0</v>
      </c>
      <c r="BF686" s="25">
        <f>686</f>
        <v>686</v>
      </c>
      <c r="BH686" s="25">
        <f t="shared" si="687"/>
        <v>0</v>
      </c>
      <c r="BI686" s="25">
        <f t="shared" si="688"/>
        <v>0</v>
      </c>
      <c r="BJ686" s="25">
        <f t="shared" si="689"/>
        <v>0</v>
      </c>
      <c r="BK686" s="27" t="s">
        <v>57</v>
      </c>
      <c r="BL686" s="25"/>
      <c r="BW686" s="25">
        <v>21</v>
      </c>
      <c r="BX686" s="5" t="s">
        <v>2063</v>
      </c>
    </row>
    <row r="687" spans="1:76" x14ac:dyDescent="0.25">
      <c r="A687" s="2" t="s">
        <v>2064</v>
      </c>
      <c r="B687" s="3" t="s">
        <v>2065</v>
      </c>
      <c r="C687" s="93" t="s">
        <v>2066</v>
      </c>
      <c r="D687" s="94"/>
      <c r="E687" s="3" t="s">
        <v>131</v>
      </c>
      <c r="F687" s="25">
        <v>20</v>
      </c>
      <c r="G687" s="25">
        <v>0</v>
      </c>
      <c r="H687" s="25">
        <f t="shared" si="668"/>
        <v>0</v>
      </c>
      <c r="I687" s="25">
        <f t="shared" si="669"/>
        <v>0</v>
      </c>
      <c r="J687" s="25">
        <f t="shared" si="670"/>
        <v>0</v>
      </c>
      <c r="K687" s="26" t="s">
        <v>53</v>
      </c>
      <c r="Z687" s="25">
        <f t="shared" si="671"/>
        <v>0</v>
      </c>
      <c r="AB687" s="25">
        <f t="shared" si="672"/>
        <v>0</v>
      </c>
      <c r="AC687" s="25">
        <f t="shared" si="673"/>
        <v>0</v>
      </c>
      <c r="AD687" s="25">
        <f t="shared" si="674"/>
        <v>0</v>
      </c>
      <c r="AE687" s="25">
        <f t="shared" si="675"/>
        <v>0</v>
      </c>
      <c r="AF687" s="25">
        <f t="shared" si="676"/>
        <v>0</v>
      </c>
      <c r="AG687" s="25">
        <f t="shared" si="677"/>
        <v>0</v>
      </c>
      <c r="AH687" s="25">
        <f t="shared" si="678"/>
        <v>0</v>
      </c>
      <c r="AI687" s="11" t="s">
        <v>46</v>
      </c>
      <c r="AJ687" s="25">
        <f t="shared" si="679"/>
        <v>0</v>
      </c>
      <c r="AK687" s="25">
        <f t="shared" si="680"/>
        <v>0</v>
      </c>
      <c r="AL687" s="25">
        <f t="shared" si="681"/>
        <v>0</v>
      </c>
      <c r="AN687" s="25">
        <v>21</v>
      </c>
      <c r="AO687" s="25">
        <f>G687*0.569989797</f>
        <v>0</v>
      </c>
      <c r="AP687" s="25">
        <f>G687*(1-0.569989797)</f>
        <v>0</v>
      </c>
      <c r="AQ687" s="27" t="s">
        <v>58</v>
      </c>
      <c r="AV687" s="25">
        <f t="shared" si="682"/>
        <v>0</v>
      </c>
      <c r="AW687" s="25">
        <f t="shared" si="683"/>
        <v>0</v>
      </c>
      <c r="AX687" s="25">
        <f t="shared" si="684"/>
        <v>0</v>
      </c>
      <c r="AY687" s="27" t="s">
        <v>1835</v>
      </c>
      <c r="AZ687" s="27" t="s">
        <v>305</v>
      </c>
      <c r="BA687" s="11" t="s">
        <v>56</v>
      </c>
      <c r="BC687" s="25">
        <f t="shared" si="685"/>
        <v>0</v>
      </c>
      <c r="BD687" s="25">
        <f t="shared" si="686"/>
        <v>0</v>
      </c>
      <c r="BE687" s="25">
        <v>0</v>
      </c>
      <c r="BF687" s="25">
        <f>687</f>
        <v>687</v>
      </c>
      <c r="BH687" s="25">
        <f t="shared" si="687"/>
        <v>0</v>
      </c>
      <c r="BI687" s="25">
        <f t="shared" si="688"/>
        <v>0</v>
      </c>
      <c r="BJ687" s="25">
        <f t="shared" si="689"/>
        <v>0</v>
      </c>
      <c r="BK687" s="27" t="s">
        <v>57</v>
      </c>
      <c r="BL687" s="25"/>
      <c r="BW687" s="25">
        <v>21</v>
      </c>
      <c r="BX687" s="5" t="s">
        <v>2066</v>
      </c>
    </row>
    <row r="688" spans="1:76" x14ac:dyDescent="0.25">
      <c r="A688" s="2" t="s">
        <v>2067</v>
      </c>
      <c r="B688" s="3" t="s">
        <v>2068</v>
      </c>
      <c r="C688" s="93" t="s">
        <v>2069</v>
      </c>
      <c r="D688" s="94"/>
      <c r="E688" s="3" t="s">
        <v>52</v>
      </c>
      <c r="F688" s="25">
        <v>7</v>
      </c>
      <c r="G688" s="25">
        <v>0</v>
      </c>
      <c r="H688" s="25">
        <f t="shared" si="668"/>
        <v>0</v>
      </c>
      <c r="I688" s="25">
        <f t="shared" si="669"/>
        <v>0</v>
      </c>
      <c r="J688" s="25">
        <f t="shared" si="670"/>
        <v>0</v>
      </c>
      <c r="K688" s="26" t="s">
        <v>53</v>
      </c>
      <c r="Z688" s="25">
        <f t="shared" si="671"/>
        <v>0</v>
      </c>
      <c r="AB688" s="25">
        <f t="shared" si="672"/>
        <v>0</v>
      </c>
      <c r="AC688" s="25">
        <f t="shared" si="673"/>
        <v>0</v>
      </c>
      <c r="AD688" s="25">
        <f t="shared" si="674"/>
        <v>0</v>
      </c>
      <c r="AE688" s="25">
        <f t="shared" si="675"/>
        <v>0</v>
      </c>
      <c r="AF688" s="25">
        <f t="shared" si="676"/>
        <v>0</v>
      </c>
      <c r="AG688" s="25">
        <f t="shared" si="677"/>
        <v>0</v>
      </c>
      <c r="AH688" s="25">
        <f t="shared" si="678"/>
        <v>0</v>
      </c>
      <c r="AI688" s="11" t="s">
        <v>46</v>
      </c>
      <c r="AJ688" s="25">
        <f t="shared" si="679"/>
        <v>0</v>
      </c>
      <c r="AK688" s="25">
        <f t="shared" si="680"/>
        <v>0</v>
      </c>
      <c r="AL688" s="25">
        <f t="shared" si="681"/>
        <v>0</v>
      </c>
      <c r="AN688" s="25">
        <v>21</v>
      </c>
      <c r="AO688" s="25">
        <f>G688*0.569994675</f>
        <v>0</v>
      </c>
      <c r="AP688" s="25">
        <f>G688*(1-0.569994675)</f>
        <v>0</v>
      </c>
      <c r="AQ688" s="27" t="s">
        <v>58</v>
      </c>
      <c r="AV688" s="25">
        <f t="shared" si="682"/>
        <v>0</v>
      </c>
      <c r="AW688" s="25">
        <f t="shared" si="683"/>
        <v>0</v>
      </c>
      <c r="AX688" s="25">
        <f t="shared" si="684"/>
        <v>0</v>
      </c>
      <c r="AY688" s="27" t="s">
        <v>1835</v>
      </c>
      <c r="AZ688" s="27" t="s">
        <v>305</v>
      </c>
      <c r="BA688" s="11" t="s">
        <v>56</v>
      </c>
      <c r="BC688" s="25">
        <f t="shared" si="685"/>
        <v>0</v>
      </c>
      <c r="BD688" s="25">
        <f t="shared" si="686"/>
        <v>0</v>
      </c>
      <c r="BE688" s="25">
        <v>0</v>
      </c>
      <c r="BF688" s="25">
        <f>688</f>
        <v>688</v>
      </c>
      <c r="BH688" s="25">
        <f t="shared" si="687"/>
        <v>0</v>
      </c>
      <c r="BI688" s="25">
        <f t="shared" si="688"/>
        <v>0</v>
      </c>
      <c r="BJ688" s="25">
        <f t="shared" si="689"/>
        <v>0</v>
      </c>
      <c r="BK688" s="27" t="s">
        <v>57</v>
      </c>
      <c r="BL688" s="25"/>
      <c r="BW688" s="25">
        <v>21</v>
      </c>
      <c r="BX688" s="5" t="s">
        <v>2069</v>
      </c>
    </row>
    <row r="689" spans="1:76" x14ac:dyDescent="0.25">
      <c r="A689" s="2" t="s">
        <v>2070</v>
      </c>
      <c r="B689" s="3" t="s">
        <v>2071</v>
      </c>
      <c r="C689" s="93" t="s">
        <v>2072</v>
      </c>
      <c r="D689" s="94"/>
      <c r="E689" s="3" t="s">
        <v>52</v>
      </c>
      <c r="F689" s="25">
        <v>1</v>
      </c>
      <c r="G689" s="25">
        <v>0</v>
      </c>
      <c r="H689" s="25">
        <f t="shared" si="668"/>
        <v>0</v>
      </c>
      <c r="I689" s="25">
        <f t="shared" si="669"/>
        <v>0</v>
      </c>
      <c r="J689" s="25">
        <f t="shared" si="670"/>
        <v>0</v>
      </c>
      <c r="K689" s="26" t="s">
        <v>53</v>
      </c>
      <c r="Z689" s="25">
        <f t="shared" si="671"/>
        <v>0</v>
      </c>
      <c r="AB689" s="25">
        <f t="shared" si="672"/>
        <v>0</v>
      </c>
      <c r="AC689" s="25">
        <f t="shared" si="673"/>
        <v>0</v>
      </c>
      <c r="AD689" s="25">
        <f t="shared" si="674"/>
        <v>0</v>
      </c>
      <c r="AE689" s="25">
        <f t="shared" si="675"/>
        <v>0</v>
      </c>
      <c r="AF689" s="25">
        <f t="shared" si="676"/>
        <v>0</v>
      </c>
      <c r="AG689" s="25">
        <f t="shared" si="677"/>
        <v>0</v>
      </c>
      <c r="AH689" s="25">
        <f t="shared" si="678"/>
        <v>0</v>
      </c>
      <c r="AI689" s="11" t="s">
        <v>46</v>
      </c>
      <c r="AJ689" s="25">
        <f t="shared" si="679"/>
        <v>0</v>
      </c>
      <c r="AK689" s="25">
        <f t="shared" si="680"/>
        <v>0</v>
      </c>
      <c r="AL689" s="25">
        <f t="shared" si="681"/>
        <v>0</v>
      </c>
      <c r="AN689" s="25">
        <v>21</v>
      </c>
      <c r="AO689" s="25">
        <f>G689*0.569899147</f>
        <v>0</v>
      </c>
      <c r="AP689" s="25">
        <f>G689*(1-0.569899147)</f>
        <v>0</v>
      </c>
      <c r="AQ689" s="27" t="s">
        <v>58</v>
      </c>
      <c r="AV689" s="25">
        <f t="shared" si="682"/>
        <v>0</v>
      </c>
      <c r="AW689" s="25">
        <f t="shared" si="683"/>
        <v>0</v>
      </c>
      <c r="AX689" s="25">
        <f t="shared" si="684"/>
        <v>0</v>
      </c>
      <c r="AY689" s="27" t="s">
        <v>1835</v>
      </c>
      <c r="AZ689" s="27" t="s">
        <v>305</v>
      </c>
      <c r="BA689" s="11" t="s">
        <v>56</v>
      </c>
      <c r="BC689" s="25">
        <f t="shared" si="685"/>
        <v>0</v>
      </c>
      <c r="BD689" s="25">
        <f t="shared" si="686"/>
        <v>0</v>
      </c>
      <c r="BE689" s="25">
        <v>0</v>
      </c>
      <c r="BF689" s="25">
        <f>689</f>
        <v>689</v>
      </c>
      <c r="BH689" s="25">
        <f t="shared" si="687"/>
        <v>0</v>
      </c>
      <c r="BI689" s="25">
        <f t="shared" si="688"/>
        <v>0</v>
      </c>
      <c r="BJ689" s="25">
        <f t="shared" si="689"/>
        <v>0</v>
      </c>
      <c r="BK689" s="27" t="s">
        <v>57</v>
      </c>
      <c r="BL689" s="25"/>
      <c r="BW689" s="25">
        <v>21</v>
      </c>
      <c r="BX689" s="5" t="s">
        <v>2072</v>
      </c>
    </row>
    <row r="690" spans="1:76" x14ac:dyDescent="0.25">
      <c r="A690" s="2" t="s">
        <v>2073</v>
      </c>
      <c r="B690" s="3" t="s">
        <v>2074</v>
      </c>
      <c r="C690" s="93" t="s">
        <v>2075</v>
      </c>
      <c r="D690" s="94"/>
      <c r="E690" s="3" t="s">
        <v>52</v>
      </c>
      <c r="F690" s="25">
        <v>1</v>
      </c>
      <c r="G690" s="25">
        <v>0</v>
      </c>
      <c r="H690" s="25">
        <f t="shared" si="668"/>
        <v>0</v>
      </c>
      <c r="I690" s="25">
        <f t="shared" si="669"/>
        <v>0</v>
      </c>
      <c r="J690" s="25">
        <f t="shared" si="670"/>
        <v>0</v>
      </c>
      <c r="K690" s="26" t="s">
        <v>53</v>
      </c>
      <c r="Z690" s="25">
        <f t="shared" si="671"/>
        <v>0</v>
      </c>
      <c r="AB690" s="25">
        <f t="shared" si="672"/>
        <v>0</v>
      </c>
      <c r="AC690" s="25">
        <f t="shared" si="673"/>
        <v>0</v>
      </c>
      <c r="AD690" s="25">
        <f t="shared" si="674"/>
        <v>0</v>
      </c>
      <c r="AE690" s="25">
        <f t="shared" si="675"/>
        <v>0</v>
      </c>
      <c r="AF690" s="25">
        <f t="shared" si="676"/>
        <v>0</v>
      </c>
      <c r="AG690" s="25">
        <f t="shared" si="677"/>
        <v>0</v>
      </c>
      <c r="AH690" s="25">
        <f t="shared" si="678"/>
        <v>0</v>
      </c>
      <c r="AI690" s="11" t="s">
        <v>46</v>
      </c>
      <c r="AJ690" s="25">
        <f t="shared" si="679"/>
        <v>0</v>
      </c>
      <c r="AK690" s="25">
        <f t="shared" si="680"/>
        <v>0</v>
      </c>
      <c r="AL690" s="25">
        <f t="shared" si="681"/>
        <v>0</v>
      </c>
      <c r="AN690" s="25">
        <v>21</v>
      </c>
      <c r="AO690" s="25">
        <f>G690*0.569916075</f>
        <v>0</v>
      </c>
      <c r="AP690" s="25">
        <f>G690*(1-0.569916075)</f>
        <v>0</v>
      </c>
      <c r="AQ690" s="27" t="s">
        <v>58</v>
      </c>
      <c r="AV690" s="25">
        <f t="shared" si="682"/>
        <v>0</v>
      </c>
      <c r="AW690" s="25">
        <f t="shared" si="683"/>
        <v>0</v>
      </c>
      <c r="AX690" s="25">
        <f t="shared" si="684"/>
        <v>0</v>
      </c>
      <c r="AY690" s="27" t="s">
        <v>1835</v>
      </c>
      <c r="AZ690" s="27" t="s">
        <v>305</v>
      </c>
      <c r="BA690" s="11" t="s">
        <v>56</v>
      </c>
      <c r="BC690" s="25">
        <f t="shared" si="685"/>
        <v>0</v>
      </c>
      <c r="BD690" s="25">
        <f t="shared" si="686"/>
        <v>0</v>
      </c>
      <c r="BE690" s="25">
        <v>0</v>
      </c>
      <c r="BF690" s="25">
        <f>690</f>
        <v>690</v>
      </c>
      <c r="BH690" s="25">
        <f t="shared" si="687"/>
        <v>0</v>
      </c>
      <c r="BI690" s="25">
        <f t="shared" si="688"/>
        <v>0</v>
      </c>
      <c r="BJ690" s="25">
        <f t="shared" si="689"/>
        <v>0</v>
      </c>
      <c r="BK690" s="27" t="s">
        <v>57</v>
      </c>
      <c r="BL690" s="25"/>
      <c r="BW690" s="25">
        <v>21</v>
      </c>
      <c r="BX690" s="5" t="s">
        <v>2075</v>
      </c>
    </row>
    <row r="691" spans="1:76" x14ac:dyDescent="0.25">
      <c r="A691" s="2" t="s">
        <v>2076</v>
      </c>
      <c r="B691" s="3" t="s">
        <v>2077</v>
      </c>
      <c r="C691" s="93" t="s">
        <v>2078</v>
      </c>
      <c r="D691" s="94"/>
      <c r="E691" s="3" t="s">
        <v>52</v>
      </c>
      <c r="F691" s="25">
        <v>5</v>
      </c>
      <c r="G691" s="25">
        <v>0</v>
      </c>
      <c r="H691" s="25">
        <f t="shared" si="668"/>
        <v>0</v>
      </c>
      <c r="I691" s="25">
        <f t="shared" si="669"/>
        <v>0</v>
      </c>
      <c r="J691" s="25">
        <f t="shared" si="670"/>
        <v>0</v>
      </c>
      <c r="K691" s="26" t="s">
        <v>53</v>
      </c>
      <c r="Z691" s="25">
        <f t="shared" si="671"/>
        <v>0</v>
      </c>
      <c r="AB691" s="25">
        <f t="shared" si="672"/>
        <v>0</v>
      </c>
      <c r="AC691" s="25">
        <f t="shared" si="673"/>
        <v>0</v>
      </c>
      <c r="AD691" s="25">
        <f t="shared" si="674"/>
        <v>0</v>
      </c>
      <c r="AE691" s="25">
        <f t="shared" si="675"/>
        <v>0</v>
      </c>
      <c r="AF691" s="25">
        <f t="shared" si="676"/>
        <v>0</v>
      </c>
      <c r="AG691" s="25">
        <f t="shared" si="677"/>
        <v>0</v>
      </c>
      <c r="AH691" s="25">
        <f t="shared" si="678"/>
        <v>0</v>
      </c>
      <c r="AI691" s="11" t="s">
        <v>46</v>
      </c>
      <c r="AJ691" s="25">
        <f t="shared" si="679"/>
        <v>0</v>
      </c>
      <c r="AK691" s="25">
        <f t="shared" si="680"/>
        <v>0</v>
      </c>
      <c r="AL691" s="25">
        <f t="shared" si="681"/>
        <v>0</v>
      </c>
      <c r="AN691" s="25">
        <v>21</v>
      </c>
      <c r="AO691" s="25">
        <f>G691*0.569928491</f>
        <v>0</v>
      </c>
      <c r="AP691" s="25">
        <f>G691*(1-0.569928491)</f>
        <v>0</v>
      </c>
      <c r="AQ691" s="27" t="s">
        <v>58</v>
      </c>
      <c r="AV691" s="25">
        <f t="shared" si="682"/>
        <v>0</v>
      </c>
      <c r="AW691" s="25">
        <f t="shared" si="683"/>
        <v>0</v>
      </c>
      <c r="AX691" s="25">
        <f t="shared" si="684"/>
        <v>0</v>
      </c>
      <c r="AY691" s="27" t="s">
        <v>1835</v>
      </c>
      <c r="AZ691" s="27" t="s">
        <v>305</v>
      </c>
      <c r="BA691" s="11" t="s">
        <v>56</v>
      </c>
      <c r="BC691" s="25">
        <f t="shared" si="685"/>
        <v>0</v>
      </c>
      <c r="BD691" s="25">
        <f t="shared" si="686"/>
        <v>0</v>
      </c>
      <c r="BE691" s="25">
        <v>0</v>
      </c>
      <c r="BF691" s="25">
        <f>691</f>
        <v>691</v>
      </c>
      <c r="BH691" s="25">
        <f t="shared" si="687"/>
        <v>0</v>
      </c>
      <c r="BI691" s="25">
        <f t="shared" si="688"/>
        <v>0</v>
      </c>
      <c r="BJ691" s="25">
        <f t="shared" si="689"/>
        <v>0</v>
      </c>
      <c r="BK691" s="27" t="s">
        <v>57</v>
      </c>
      <c r="BL691" s="25"/>
      <c r="BW691" s="25">
        <v>21</v>
      </c>
      <c r="BX691" s="5" t="s">
        <v>2078</v>
      </c>
    </row>
    <row r="692" spans="1:76" x14ac:dyDescent="0.25">
      <c r="A692" s="2" t="s">
        <v>2079</v>
      </c>
      <c r="B692" s="3" t="s">
        <v>2080</v>
      </c>
      <c r="C692" s="93" t="s">
        <v>2081</v>
      </c>
      <c r="D692" s="94"/>
      <c r="E692" s="3" t="s">
        <v>52</v>
      </c>
      <c r="F692" s="25">
        <v>1</v>
      </c>
      <c r="G692" s="25">
        <v>0</v>
      </c>
      <c r="H692" s="25">
        <f t="shared" si="668"/>
        <v>0</v>
      </c>
      <c r="I692" s="25">
        <f t="shared" si="669"/>
        <v>0</v>
      </c>
      <c r="J692" s="25">
        <f t="shared" si="670"/>
        <v>0</v>
      </c>
      <c r="K692" s="26" t="s">
        <v>53</v>
      </c>
      <c r="Z692" s="25">
        <f t="shared" si="671"/>
        <v>0</v>
      </c>
      <c r="AB692" s="25">
        <f t="shared" si="672"/>
        <v>0</v>
      </c>
      <c r="AC692" s="25">
        <f t="shared" si="673"/>
        <v>0</v>
      </c>
      <c r="AD692" s="25">
        <f t="shared" si="674"/>
        <v>0</v>
      </c>
      <c r="AE692" s="25">
        <f t="shared" si="675"/>
        <v>0</v>
      </c>
      <c r="AF692" s="25">
        <f t="shared" si="676"/>
        <v>0</v>
      </c>
      <c r="AG692" s="25">
        <f t="shared" si="677"/>
        <v>0</v>
      </c>
      <c r="AH692" s="25">
        <f t="shared" si="678"/>
        <v>0</v>
      </c>
      <c r="AI692" s="11" t="s">
        <v>46</v>
      </c>
      <c r="AJ692" s="25">
        <f t="shared" si="679"/>
        <v>0</v>
      </c>
      <c r="AK692" s="25">
        <f t="shared" si="680"/>
        <v>0</v>
      </c>
      <c r="AL692" s="25">
        <f t="shared" si="681"/>
        <v>0</v>
      </c>
      <c r="AN692" s="25">
        <v>21</v>
      </c>
      <c r="AO692" s="25">
        <f>G692*0.569986274</f>
        <v>0</v>
      </c>
      <c r="AP692" s="25">
        <f>G692*(1-0.569986274)</f>
        <v>0</v>
      </c>
      <c r="AQ692" s="27" t="s">
        <v>58</v>
      </c>
      <c r="AV692" s="25">
        <f t="shared" si="682"/>
        <v>0</v>
      </c>
      <c r="AW692" s="25">
        <f t="shared" si="683"/>
        <v>0</v>
      </c>
      <c r="AX692" s="25">
        <f t="shared" si="684"/>
        <v>0</v>
      </c>
      <c r="AY692" s="27" t="s">
        <v>1835</v>
      </c>
      <c r="AZ692" s="27" t="s">
        <v>305</v>
      </c>
      <c r="BA692" s="11" t="s">
        <v>56</v>
      </c>
      <c r="BC692" s="25">
        <f t="shared" si="685"/>
        <v>0</v>
      </c>
      <c r="BD692" s="25">
        <f t="shared" si="686"/>
        <v>0</v>
      </c>
      <c r="BE692" s="25">
        <v>0</v>
      </c>
      <c r="BF692" s="25">
        <f>692</f>
        <v>692</v>
      </c>
      <c r="BH692" s="25">
        <f t="shared" si="687"/>
        <v>0</v>
      </c>
      <c r="BI692" s="25">
        <f t="shared" si="688"/>
        <v>0</v>
      </c>
      <c r="BJ692" s="25">
        <f t="shared" si="689"/>
        <v>0</v>
      </c>
      <c r="BK692" s="27" t="s">
        <v>57</v>
      </c>
      <c r="BL692" s="25"/>
      <c r="BW692" s="25">
        <v>21</v>
      </c>
      <c r="BX692" s="5" t="s">
        <v>2081</v>
      </c>
    </row>
    <row r="693" spans="1:76" x14ac:dyDescent="0.25">
      <c r="A693" s="2" t="s">
        <v>2082</v>
      </c>
      <c r="B693" s="3" t="s">
        <v>2083</v>
      </c>
      <c r="C693" s="93" t="s">
        <v>2084</v>
      </c>
      <c r="D693" s="94"/>
      <c r="E693" s="3" t="s">
        <v>52</v>
      </c>
      <c r="F693" s="25">
        <v>2</v>
      </c>
      <c r="G693" s="25">
        <v>0</v>
      </c>
      <c r="H693" s="25">
        <f t="shared" si="668"/>
        <v>0</v>
      </c>
      <c r="I693" s="25">
        <f t="shared" si="669"/>
        <v>0</v>
      </c>
      <c r="J693" s="25">
        <f t="shared" si="670"/>
        <v>0</v>
      </c>
      <c r="K693" s="26" t="s">
        <v>53</v>
      </c>
      <c r="Z693" s="25">
        <f t="shared" si="671"/>
        <v>0</v>
      </c>
      <c r="AB693" s="25">
        <f t="shared" si="672"/>
        <v>0</v>
      </c>
      <c r="AC693" s="25">
        <f t="shared" si="673"/>
        <v>0</v>
      </c>
      <c r="AD693" s="25">
        <f t="shared" si="674"/>
        <v>0</v>
      </c>
      <c r="AE693" s="25">
        <f t="shared" si="675"/>
        <v>0</v>
      </c>
      <c r="AF693" s="25">
        <f t="shared" si="676"/>
        <v>0</v>
      </c>
      <c r="AG693" s="25">
        <f t="shared" si="677"/>
        <v>0</v>
      </c>
      <c r="AH693" s="25">
        <f t="shared" si="678"/>
        <v>0</v>
      </c>
      <c r="AI693" s="11" t="s">
        <v>46</v>
      </c>
      <c r="AJ693" s="25">
        <f t="shared" si="679"/>
        <v>0</v>
      </c>
      <c r="AK693" s="25">
        <f t="shared" si="680"/>
        <v>0</v>
      </c>
      <c r="AL693" s="25">
        <f t="shared" si="681"/>
        <v>0</v>
      </c>
      <c r="AN693" s="25">
        <v>21</v>
      </c>
      <c r="AO693" s="25">
        <f>G693*0.569957847</f>
        <v>0</v>
      </c>
      <c r="AP693" s="25">
        <f>G693*(1-0.569957847)</f>
        <v>0</v>
      </c>
      <c r="AQ693" s="27" t="s">
        <v>58</v>
      </c>
      <c r="AV693" s="25">
        <f t="shared" si="682"/>
        <v>0</v>
      </c>
      <c r="AW693" s="25">
        <f t="shared" si="683"/>
        <v>0</v>
      </c>
      <c r="AX693" s="25">
        <f t="shared" si="684"/>
        <v>0</v>
      </c>
      <c r="AY693" s="27" t="s">
        <v>1835</v>
      </c>
      <c r="AZ693" s="27" t="s">
        <v>305</v>
      </c>
      <c r="BA693" s="11" t="s">
        <v>56</v>
      </c>
      <c r="BC693" s="25">
        <f t="shared" si="685"/>
        <v>0</v>
      </c>
      <c r="BD693" s="25">
        <f t="shared" si="686"/>
        <v>0</v>
      </c>
      <c r="BE693" s="25">
        <v>0</v>
      </c>
      <c r="BF693" s="25">
        <f>693</f>
        <v>693</v>
      </c>
      <c r="BH693" s="25">
        <f t="shared" si="687"/>
        <v>0</v>
      </c>
      <c r="BI693" s="25">
        <f t="shared" si="688"/>
        <v>0</v>
      </c>
      <c r="BJ693" s="25">
        <f t="shared" si="689"/>
        <v>0</v>
      </c>
      <c r="BK693" s="27" t="s">
        <v>57</v>
      </c>
      <c r="BL693" s="25"/>
      <c r="BW693" s="25">
        <v>21</v>
      </c>
      <c r="BX693" s="5" t="s">
        <v>2084</v>
      </c>
    </row>
    <row r="694" spans="1:76" x14ac:dyDescent="0.25">
      <c r="A694" s="2" t="s">
        <v>2085</v>
      </c>
      <c r="B694" s="3" t="s">
        <v>2086</v>
      </c>
      <c r="C694" s="93" t="s">
        <v>2087</v>
      </c>
      <c r="D694" s="94"/>
      <c r="E694" s="3" t="s">
        <v>52</v>
      </c>
      <c r="F694" s="25">
        <v>5</v>
      </c>
      <c r="G694" s="25">
        <v>0</v>
      </c>
      <c r="H694" s="25">
        <f t="shared" si="668"/>
        <v>0</v>
      </c>
      <c r="I694" s="25">
        <f t="shared" si="669"/>
        <v>0</v>
      </c>
      <c r="J694" s="25">
        <f t="shared" si="670"/>
        <v>0</v>
      </c>
      <c r="K694" s="26" t="s">
        <v>53</v>
      </c>
      <c r="Z694" s="25">
        <f t="shared" si="671"/>
        <v>0</v>
      </c>
      <c r="AB694" s="25">
        <f t="shared" si="672"/>
        <v>0</v>
      </c>
      <c r="AC694" s="25">
        <f t="shared" si="673"/>
        <v>0</v>
      </c>
      <c r="AD694" s="25">
        <f t="shared" si="674"/>
        <v>0</v>
      </c>
      <c r="AE694" s="25">
        <f t="shared" si="675"/>
        <v>0</v>
      </c>
      <c r="AF694" s="25">
        <f t="shared" si="676"/>
        <v>0</v>
      </c>
      <c r="AG694" s="25">
        <f t="shared" si="677"/>
        <v>0</v>
      </c>
      <c r="AH694" s="25">
        <f t="shared" si="678"/>
        <v>0</v>
      </c>
      <c r="AI694" s="11" t="s">
        <v>46</v>
      </c>
      <c r="AJ694" s="25">
        <f t="shared" si="679"/>
        <v>0</v>
      </c>
      <c r="AK694" s="25">
        <f t="shared" si="680"/>
        <v>0</v>
      </c>
      <c r="AL694" s="25">
        <f t="shared" si="681"/>
        <v>0</v>
      </c>
      <c r="AN694" s="25">
        <v>21</v>
      </c>
      <c r="AO694" s="25">
        <f>G694*0.570013239</f>
        <v>0</v>
      </c>
      <c r="AP694" s="25">
        <f>G694*(1-0.570013239)</f>
        <v>0</v>
      </c>
      <c r="AQ694" s="27" t="s">
        <v>58</v>
      </c>
      <c r="AV694" s="25">
        <f t="shared" si="682"/>
        <v>0</v>
      </c>
      <c r="AW694" s="25">
        <f t="shared" si="683"/>
        <v>0</v>
      </c>
      <c r="AX694" s="25">
        <f t="shared" si="684"/>
        <v>0</v>
      </c>
      <c r="AY694" s="27" t="s">
        <v>1835</v>
      </c>
      <c r="AZ694" s="27" t="s">
        <v>305</v>
      </c>
      <c r="BA694" s="11" t="s">
        <v>56</v>
      </c>
      <c r="BC694" s="25">
        <f t="shared" si="685"/>
        <v>0</v>
      </c>
      <c r="BD694" s="25">
        <f t="shared" si="686"/>
        <v>0</v>
      </c>
      <c r="BE694" s="25">
        <v>0</v>
      </c>
      <c r="BF694" s="25">
        <f>694</f>
        <v>694</v>
      </c>
      <c r="BH694" s="25">
        <f t="shared" si="687"/>
        <v>0</v>
      </c>
      <c r="BI694" s="25">
        <f t="shared" si="688"/>
        <v>0</v>
      </c>
      <c r="BJ694" s="25">
        <f t="shared" si="689"/>
        <v>0</v>
      </c>
      <c r="BK694" s="27" t="s">
        <v>57</v>
      </c>
      <c r="BL694" s="25"/>
      <c r="BW694" s="25">
        <v>21</v>
      </c>
      <c r="BX694" s="5" t="s">
        <v>2087</v>
      </c>
    </row>
    <row r="695" spans="1:76" x14ac:dyDescent="0.25">
      <c r="A695" s="2" t="s">
        <v>2088</v>
      </c>
      <c r="B695" s="3" t="s">
        <v>2089</v>
      </c>
      <c r="C695" s="93" t="s">
        <v>2090</v>
      </c>
      <c r="D695" s="94"/>
      <c r="E695" s="3" t="s">
        <v>52</v>
      </c>
      <c r="F695" s="25">
        <v>45</v>
      </c>
      <c r="G695" s="25">
        <v>0</v>
      </c>
      <c r="H695" s="25">
        <f t="shared" si="668"/>
        <v>0</v>
      </c>
      <c r="I695" s="25">
        <f t="shared" si="669"/>
        <v>0</v>
      </c>
      <c r="J695" s="25">
        <f t="shared" si="670"/>
        <v>0</v>
      </c>
      <c r="K695" s="26" t="s">
        <v>53</v>
      </c>
      <c r="Z695" s="25">
        <f t="shared" si="671"/>
        <v>0</v>
      </c>
      <c r="AB695" s="25">
        <f t="shared" si="672"/>
        <v>0</v>
      </c>
      <c r="AC695" s="25">
        <f t="shared" si="673"/>
        <v>0</v>
      </c>
      <c r="AD695" s="25">
        <f t="shared" si="674"/>
        <v>0</v>
      </c>
      <c r="AE695" s="25">
        <f t="shared" si="675"/>
        <v>0</v>
      </c>
      <c r="AF695" s="25">
        <f t="shared" si="676"/>
        <v>0</v>
      </c>
      <c r="AG695" s="25">
        <f t="shared" si="677"/>
        <v>0</v>
      </c>
      <c r="AH695" s="25">
        <f t="shared" si="678"/>
        <v>0</v>
      </c>
      <c r="AI695" s="11" t="s">
        <v>46</v>
      </c>
      <c r="AJ695" s="25">
        <f t="shared" si="679"/>
        <v>0</v>
      </c>
      <c r="AK695" s="25">
        <f t="shared" si="680"/>
        <v>0</v>
      </c>
      <c r="AL695" s="25">
        <f t="shared" si="681"/>
        <v>0</v>
      </c>
      <c r="AN695" s="25">
        <v>21</v>
      </c>
      <c r="AO695" s="25">
        <f t="shared" ref="AO695:AO705" si="690">G695*0</f>
        <v>0</v>
      </c>
      <c r="AP695" s="25">
        <f t="shared" ref="AP695:AP705" si="691">G695*(1-0)</f>
        <v>0</v>
      </c>
      <c r="AQ695" s="27" t="s">
        <v>58</v>
      </c>
      <c r="AV695" s="25">
        <f t="shared" si="682"/>
        <v>0</v>
      </c>
      <c r="AW695" s="25">
        <f t="shared" si="683"/>
        <v>0</v>
      </c>
      <c r="AX695" s="25">
        <f t="shared" si="684"/>
        <v>0</v>
      </c>
      <c r="AY695" s="27" t="s">
        <v>1835</v>
      </c>
      <c r="AZ695" s="27" t="s">
        <v>305</v>
      </c>
      <c r="BA695" s="11" t="s">
        <v>56</v>
      </c>
      <c r="BC695" s="25">
        <f t="shared" si="685"/>
        <v>0</v>
      </c>
      <c r="BD695" s="25">
        <f t="shared" si="686"/>
        <v>0</v>
      </c>
      <c r="BE695" s="25">
        <v>0</v>
      </c>
      <c r="BF695" s="25">
        <f>695</f>
        <v>695</v>
      </c>
      <c r="BH695" s="25">
        <f t="shared" si="687"/>
        <v>0</v>
      </c>
      <c r="BI695" s="25">
        <f t="shared" si="688"/>
        <v>0</v>
      </c>
      <c r="BJ695" s="25">
        <f t="shared" si="689"/>
        <v>0</v>
      </c>
      <c r="BK695" s="27" t="s">
        <v>57</v>
      </c>
      <c r="BL695" s="25"/>
      <c r="BW695" s="25">
        <v>21</v>
      </c>
      <c r="BX695" s="5" t="s">
        <v>2090</v>
      </c>
    </row>
    <row r="696" spans="1:76" x14ac:dyDescent="0.25">
      <c r="A696" s="2" t="s">
        <v>2091</v>
      </c>
      <c r="B696" s="3" t="s">
        <v>2092</v>
      </c>
      <c r="C696" s="93" t="s">
        <v>2093</v>
      </c>
      <c r="D696" s="94"/>
      <c r="E696" s="3" t="s">
        <v>52</v>
      </c>
      <c r="F696" s="25">
        <v>1</v>
      </c>
      <c r="G696" s="25">
        <v>0</v>
      </c>
      <c r="H696" s="25">
        <f t="shared" si="668"/>
        <v>0</v>
      </c>
      <c r="I696" s="25">
        <f t="shared" si="669"/>
        <v>0</v>
      </c>
      <c r="J696" s="25">
        <f t="shared" si="670"/>
        <v>0</v>
      </c>
      <c r="K696" s="26" t="s">
        <v>53</v>
      </c>
      <c r="Z696" s="25">
        <f t="shared" si="671"/>
        <v>0</v>
      </c>
      <c r="AB696" s="25">
        <f t="shared" si="672"/>
        <v>0</v>
      </c>
      <c r="AC696" s="25">
        <f t="shared" si="673"/>
        <v>0</v>
      </c>
      <c r="AD696" s="25">
        <f t="shared" si="674"/>
        <v>0</v>
      </c>
      <c r="AE696" s="25">
        <f t="shared" si="675"/>
        <v>0</v>
      </c>
      <c r="AF696" s="25">
        <f t="shared" si="676"/>
        <v>0</v>
      </c>
      <c r="AG696" s="25">
        <f t="shared" si="677"/>
        <v>0</v>
      </c>
      <c r="AH696" s="25">
        <f t="shared" si="678"/>
        <v>0</v>
      </c>
      <c r="AI696" s="11" t="s">
        <v>46</v>
      </c>
      <c r="AJ696" s="25">
        <f t="shared" si="679"/>
        <v>0</v>
      </c>
      <c r="AK696" s="25">
        <f t="shared" si="680"/>
        <v>0</v>
      </c>
      <c r="AL696" s="25">
        <f t="shared" si="681"/>
        <v>0</v>
      </c>
      <c r="AN696" s="25">
        <v>21</v>
      </c>
      <c r="AO696" s="25">
        <f t="shared" si="690"/>
        <v>0</v>
      </c>
      <c r="AP696" s="25">
        <f t="shared" si="691"/>
        <v>0</v>
      </c>
      <c r="AQ696" s="27" t="s">
        <v>58</v>
      </c>
      <c r="AV696" s="25">
        <f t="shared" si="682"/>
        <v>0</v>
      </c>
      <c r="AW696" s="25">
        <f t="shared" si="683"/>
        <v>0</v>
      </c>
      <c r="AX696" s="25">
        <f t="shared" si="684"/>
        <v>0</v>
      </c>
      <c r="AY696" s="27" t="s">
        <v>1835</v>
      </c>
      <c r="AZ696" s="27" t="s">
        <v>305</v>
      </c>
      <c r="BA696" s="11" t="s">
        <v>56</v>
      </c>
      <c r="BC696" s="25">
        <f t="shared" si="685"/>
        <v>0</v>
      </c>
      <c r="BD696" s="25">
        <f t="shared" si="686"/>
        <v>0</v>
      </c>
      <c r="BE696" s="25">
        <v>0</v>
      </c>
      <c r="BF696" s="25">
        <f>696</f>
        <v>696</v>
      </c>
      <c r="BH696" s="25">
        <f t="shared" si="687"/>
        <v>0</v>
      </c>
      <c r="BI696" s="25">
        <f t="shared" si="688"/>
        <v>0</v>
      </c>
      <c r="BJ696" s="25">
        <f t="shared" si="689"/>
        <v>0</v>
      </c>
      <c r="BK696" s="27" t="s">
        <v>57</v>
      </c>
      <c r="BL696" s="25"/>
      <c r="BW696" s="25">
        <v>21</v>
      </c>
      <c r="BX696" s="5" t="s">
        <v>2093</v>
      </c>
    </row>
    <row r="697" spans="1:76" x14ac:dyDescent="0.25">
      <c r="A697" s="2" t="s">
        <v>2094</v>
      </c>
      <c r="B697" s="3" t="s">
        <v>2095</v>
      </c>
      <c r="C697" s="93" t="s">
        <v>2096</v>
      </c>
      <c r="D697" s="94"/>
      <c r="E697" s="3" t="s">
        <v>52</v>
      </c>
      <c r="F697" s="25">
        <v>1</v>
      </c>
      <c r="G697" s="25">
        <v>0</v>
      </c>
      <c r="H697" s="25">
        <f t="shared" si="668"/>
        <v>0</v>
      </c>
      <c r="I697" s="25">
        <f t="shared" si="669"/>
        <v>0</v>
      </c>
      <c r="J697" s="25">
        <f t="shared" si="670"/>
        <v>0</v>
      </c>
      <c r="K697" s="26" t="s">
        <v>53</v>
      </c>
      <c r="Z697" s="25">
        <f t="shared" si="671"/>
        <v>0</v>
      </c>
      <c r="AB697" s="25">
        <f t="shared" si="672"/>
        <v>0</v>
      </c>
      <c r="AC697" s="25">
        <f t="shared" si="673"/>
        <v>0</v>
      </c>
      <c r="AD697" s="25">
        <f t="shared" si="674"/>
        <v>0</v>
      </c>
      <c r="AE697" s="25">
        <f t="shared" si="675"/>
        <v>0</v>
      </c>
      <c r="AF697" s="25">
        <f t="shared" si="676"/>
        <v>0</v>
      </c>
      <c r="AG697" s="25">
        <f t="shared" si="677"/>
        <v>0</v>
      </c>
      <c r="AH697" s="25">
        <f t="shared" si="678"/>
        <v>0</v>
      </c>
      <c r="AI697" s="11" t="s">
        <v>46</v>
      </c>
      <c r="AJ697" s="25">
        <f t="shared" si="679"/>
        <v>0</v>
      </c>
      <c r="AK697" s="25">
        <f t="shared" si="680"/>
        <v>0</v>
      </c>
      <c r="AL697" s="25">
        <f t="shared" si="681"/>
        <v>0</v>
      </c>
      <c r="AN697" s="25">
        <v>21</v>
      </c>
      <c r="AO697" s="25">
        <f t="shared" si="690"/>
        <v>0</v>
      </c>
      <c r="AP697" s="25">
        <f t="shared" si="691"/>
        <v>0</v>
      </c>
      <c r="AQ697" s="27" t="s">
        <v>58</v>
      </c>
      <c r="AV697" s="25">
        <f t="shared" si="682"/>
        <v>0</v>
      </c>
      <c r="AW697" s="25">
        <f t="shared" si="683"/>
        <v>0</v>
      </c>
      <c r="AX697" s="25">
        <f t="shared" si="684"/>
        <v>0</v>
      </c>
      <c r="AY697" s="27" t="s">
        <v>1835</v>
      </c>
      <c r="AZ697" s="27" t="s">
        <v>305</v>
      </c>
      <c r="BA697" s="11" t="s">
        <v>56</v>
      </c>
      <c r="BC697" s="25">
        <f t="shared" si="685"/>
        <v>0</v>
      </c>
      <c r="BD697" s="25">
        <f t="shared" si="686"/>
        <v>0</v>
      </c>
      <c r="BE697" s="25">
        <v>0</v>
      </c>
      <c r="BF697" s="25">
        <f>697</f>
        <v>697</v>
      </c>
      <c r="BH697" s="25">
        <f t="shared" si="687"/>
        <v>0</v>
      </c>
      <c r="BI697" s="25">
        <f t="shared" si="688"/>
        <v>0</v>
      </c>
      <c r="BJ697" s="25">
        <f t="shared" si="689"/>
        <v>0</v>
      </c>
      <c r="BK697" s="27" t="s">
        <v>57</v>
      </c>
      <c r="BL697" s="25"/>
      <c r="BW697" s="25">
        <v>21</v>
      </c>
      <c r="BX697" s="5" t="s">
        <v>2096</v>
      </c>
    </row>
    <row r="698" spans="1:76" ht="25.5" x14ac:dyDescent="0.25">
      <c r="A698" s="2" t="s">
        <v>2097</v>
      </c>
      <c r="B698" s="3" t="s">
        <v>2098</v>
      </c>
      <c r="C698" s="93" t="s">
        <v>2099</v>
      </c>
      <c r="D698" s="94"/>
      <c r="E698" s="3" t="s">
        <v>52</v>
      </c>
      <c r="F698" s="25">
        <v>25</v>
      </c>
      <c r="G698" s="25">
        <v>0</v>
      </c>
      <c r="H698" s="25">
        <f t="shared" si="668"/>
        <v>0</v>
      </c>
      <c r="I698" s="25">
        <f t="shared" si="669"/>
        <v>0</v>
      </c>
      <c r="J698" s="25">
        <f t="shared" si="670"/>
        <v>0</v>
      </c>
      <c r="K698" s="26" t="s">
        <v>53</v>
      </c>
      <c r="Z698" s="25">
        <f t="shared" si="671"/>
        <v>0</v>
      </c>
      <c r="AB698" s="25">
        <f t="shared" si="672"/>
        <v>0</v>
      </c>
      <c r="AC698" s="25">
        <f t="shared" si="673"/>
        <v>0</v>
      </c>
      <c r="AD698" s="25">
        <f t="shared" si="674"/>
        <v>0</v>
      </c>
      <c r="AE698" s="25">
        <f t="shared" si="675"/>
        <v>0</v>
      </c>
      <c r="AF698" s="25">
        <f t="shared" si="676"/>
        <v>0</v>
      </c>
      <c r="AG698" s="25">
        <f t="shared" si="677"/>
        <v>0</v>
      </c>
      <c r="AH698" s="25">
        <f t="shared" si="678"/>
        <v>0</v>
      </c>
      <c r="AI698" s="11" t="s">
        <v>46</v>
      </c>
      <c r="AJ698" s="25">
        <f t="shared" si="679"/>
        <v>0</v>
      </c>
      <c r="AK698" s="25">
        <f t="shared" si="680"/>
        <v>0</v>
      </c>
      <c r="AL698" s="25">
        <f t="shared" si="681"/>
        <v>0</v>
      </c>
      <c r="AN698" s="25">
        <v>21</v>
      </c>
      <c r="AO698" s="25">
        <f t="shared" si="690"/>
        <v>0</v>
      </c>
      <c r="AP698" s="25">
        <f t="shared" si="691"/>
        <v>0</v>
      </c>
      <c r="AQ698" s="27" t="s">
        <v>58</v>
      </c>
      <c r="AV698" s="25">
        <f t="shared" si="682"/>
        <v>0</v>
      </c>
      <c r="AW698" s="25">
        <f t="shared" si="683"/>
        <v>0</v>
      </c>
      <c r="AX698" s="25">
        <f t="shared" si="684"/>
        <v>0</v>
      </c>
      <c r="AY698" s="27" t="s">
        <v>1835</v>
      </c>
      <c r="AZ698" s="27" t="s">
        <v>305</v>
      </c>
      <c r="BA698" s="11" t="s">
        <v>56</v>
      </c>
      <c r="BC698" s="25">
        <f t="shared" si="685"/>
        <v>0</v>
      </c>
      <c r="BD698" s="25">
        <f t="shared" si="686"/>
        <v>0</v>
      </c>
      <c r="BE698" s="25">
        <v>0</v>
      </c>
      <c r="BF698" s="25">
        <f>698</f>
        <v>698</v>
      </c>
      <c r="BH698" s="25">
        <f t="shared" si="687"/>
        <v>0</v>
      </c>
      <c r="BI698" s="25">
        <f t="shared" si="688"/>
        <v>0</v>
      </c>
      <c r="BJ698" s="25">
        <f t="shared" si="689"/>
        <v>0</v>
      </c>
      <c r="BK698" s="27" t="s">
        <v>57</v>
      </c>
      <c r="BL698" s="25"/>
      <c r="BW698" s="25">
        <v>21</v>
      </c>
      <c r="BX698" s="5" t="s">
        <v>2099</v>
      </c>
    </row>
    <row r="699" spans="1:76" ht="25.5" x14ac:dyDescent="0.25">
      <c r="A699" s="2" t="s">
        <v>2100</v>
      </c>
      <c r="B699" s="3" t="s">
        <v>2101</v>
      </c>
      <c r="C699" s="93" t="s">
        <v>2102</v>
      </c>
      <c r="D699" s="94"/>
      <c r="E699" s="3" t="s">
        <v>52</v>
      </c>
      <c r="F699" s="25">
        <v>8</v>
      </c>
      <c r="G699" s="25">
        <v>0</v>
      </c>
      <c r="H699" s="25">
        <f t="shared" si="668"/>
        <v>0</v>
      </c>
      <c r="I699" s="25">
        <f t="shared" si="669"/>
        <v>0</v>
      </c>
      <c r="J699" s="25">
        <f t="shared" si="670"/>
        <v>0</v>
      </c>
      <c r="K699" s="26" t="s">
        <v>53</v>
      </c>
      <c r="Z699" s="25">
        <f t="shared" si="671"/>
        <v>0</v>
      </c>
      <c r="AB699" s="25">
        <f t="shared" si="672"/>
        <v>0</v>
      </c>
      <c r="AC699" s="25">
        <f t="shared" si="673"/>
        <v>0</v>
      </c>
      <c r="AD699" s="25">
        <f t="shared" si="674"/>
        <v>0</v>
      </c>
      <c r="AE699" s="25">
        <f t="shared" si="675"/>
        <v>0</v>
      </c>
      <c r="AF699" s="25">
        <f t="shared" si="676"/>
        <v>0</v>
      </c>
      <c r="AG699" s="25">
        <f t="shared" si="677"/>
        <v>0</v>
      </c>
      <c r="AH699" s="25">
        <f t="shared" si="678"/>
        <v>0</v>
      </c>
      <c r="AI699" s="11" t="s">
        <v>46</v>
      </c>
      <c r="AJ699" s="25">
        <f t="shared" si="679"/>
        <v>0</v>
      </c>
      <c r="AK699" s="25">
        <f t="shared" si="680"/>
        <v>0</v>
      </c>
      <c r="AL699" s="25">
        <f t="shared" si="681"/>
        <v>0</v>
      </c>
      <c r="AN699" s="25">
        <v>21</v>
      </c>
      <c r="AO699" s="25">
        <f t="shared" si="690"/>
        <v>0</v>
      </c>
      <c r="AP699" s="25">
        <f t="shared" si="691"/>
        <v>0</v>
      </c>
      <c r="AQ699" s="27" t="s">
        <v>58</v>
      </c>
      <c r="AV699" s="25">
        <f t="shared" si="682"/>
        <v>0</v>
      </c>
      <c r="AW699" s="25">
        <f t="shared" si="683"/>
        <v>0</v>
      </c>
      <c r="AX699" s="25">
        <f t="shared" si="684"/>
        <v>0</v>
      </c>
      <c r="AY699" s="27" t="s">
        <v>1835</v>
      </c>
      <c r="AZ699" s="27" t="s">
        <v>305</v>
      </c>
      <c r="BA699" s="11" t="s">
        <v>56</v>
      </c>
      <c r="BC699" s="25">
        <f t="shared" si="685"/>
        <v>0</v>
      </c>
      <c r="BD699" s="25">
        <f t="shared" si="686"/>
        <v>0</v>
      </c>
      <c r="BE699" s="25">
        <v>0</v>
      </c>
      <c r="BF699" s="25">
        <f>699</f>
        <v>699</v>
      </c>
      <c r="BH699" s="25">
        <f t="shared" si="687"/>
        <v>0</v>
      </c>
      <c r="BI699" s="25">
        <f t="shared" si="688"/>
        <v>0</v>
      </c>
      <c r="BJ699" s="25">
        <f t="shared" si="689"/>
        <v>0</v>
      </c>
      <c r="BK699" s="27" t="s">
        <v>57</v>
      </c>
      <c r="BL699" s="25"/>
      <c r="BW699" s="25">
        <v>21</v>
      </c>
      <c r="BX699" s="5" t="s">
        <v>2102</v>
      </c>
    </row>
    <row r="700" spans="1:76" ht="25.5" x14ac:dyDescent="0.25">
      <c r="A700" s="2" t="s">
        <v>2103</v>
      </c>
      <c r="B700" s="3" t="s">
        <v>2104</v>
      </c>
      <c r="C700" s="93" t="s">
        <v>2105</v>
      </c>
      <c r="D700" s="94"/>
      <c r="E700" s="3" t="s">
        <v>52</v>
      </c>
      <c r="F700" s="25">
        <v>384</v>
      </c>
      <c r="G700" s="25">
        <v>0</v>
      </c>
      <c r="H700" s="25">
        <f t="shared" si="668"/>
        <v>0</v>
      </c>
      <c r="I700" s="25">
        <f t="shared" si="669"/>
        <v>0</v>
      </c>
      <c r="J700" s="25">
        <f t="shared" si="670"/>
        <v>0</v>
      </c>
      <c r="K700" s="26" t="s">
        <v>53</v>
      </c>
      <c r="Z700" s="25">
        <f t="shared" si="671"/>
        <v>0</v>
      </c>
      <c r="AB700" s="25">
        <f t="shared" si="672"/>
        <v>0</v>
      </c>
      <c r="AC700" s="25">
        <f t="shared" si="673"/>
        <v>0</v>
      </c>
      <c r="AD700" s="25">
        <f t="shared" si="674"/>
        <v>0</v>
      </c>
      <c r="AE700" s="25">
        <f t="shared" si="675"/>
        <v>0</v>
      </c>
      <c r="AF700" s="25">
        <f t="shared" si="676"/>
        <v>0</v>
      </c>
      <c r="AG700" s="25">
        <f t="shared" si="677"/>
        <v>0</v>
      </c>
      <c r="AH700" s="25">
        <f t="shared" si="678"/>
        <v>0</v>
      </c>
      <c r="AI700" s="11" t="s">
        <v>46</v>
      </c>
      <c r="AJ700" s="25">
        <f t="shared" si="679"/>
        <v>0</v>
      </c>
      <c r="AK700" s="25">
        <f t="shared" si="680"/>
        <v>0</v>
      </c>
      <c r="AL700" s="25">
        <f t="shared" si="681"/>
        <v>0</v>
      </c>
      <c r="AN700" s="25">
        <v>21</v>
      </c>
      <c r="AO700" s="25">
        <f t="shared" si="690"/>
        <v>0</v>
      </c>
      <c r="AP700" s="25">
        <f t="shared" si="691"/>
        <v>0</v>
      </c>
      <c r="AQ700" s="27" t="s">
        <v>58</v>
      </c>
      <c r="AV700" s="25">
        <f t="shared" si="682"/>
        <v>0</v>
      </c>
      <c r="AW700" s="25">
        <f t="shared" si="683"/>
        <v>0</v>
      </c>
      <c r="AX700" s="25">
        <f t="shared" si="684"/>
        <v>0</v>
      </c>
      <c r="AY700" s="27" t="s">
        <v>1835</v>
      </c>
      <c r="AZ700" s="27" t="s">
        <v>305</v>
      </c>
      <c r="BA700" s="11" t="s">
        <v>56</v>
      </c>
      <c r="BC700" s="25">
        <f t="shared" si="685"/>
        <v>0</v>
      </c>
      <c r="BD700" s="25">
        <f t="shared" si="686"/>
        <v>0</v>
      </c>
      <c r="BE700" s="25">
        <v>0</v>
      </c>
      <c r="BF700" s="25">
        <f>700</f>
        <v>700</v>
      </c>
      <c r="BH700" s="25">
        <f t="shared" si="687"/>
        <v>0</v>
      </c>
      <c r="BI700" s="25">
        <f t="shared" si="688"/>
        <v>0</v>
      </c>
      <c r="BJ700" s="25">
        <f t="shared" si="689"/>
        <v>0</v>
      </c>
      <c r="BK700" s="27" t="s">
        <v>57</v>
      </c>
      <c r="BL700" s="25"/>
      <c r="BW700" s="25">
        <v>21</v>
      </c>
      <c r="BX700" s="5" t="s">
        <v>2105</v>
      </c>
    </row>
    <row r="701" spans="1:76" ht="25.5" x14ac:dyDescent="0.25">
      <c r="A701" s="2" t="s">
        <v>2106</v>
      </c>
      <c r="B701" s="3" t="s">
        <v>2107</v>
      </c>
      <c r="C701" s="93" t="s">
        <v>2108</v>
      </c>
      <c r="D701" s="94"/>
      <c r="E701" s="3" t="s">
        <v>52</v>
      </c>
      <c r="F701" s="25">
        <v>4</v>
      </c>
      <c r="G701" s="25">
        <v>0</v>
      </c>
      <c r="H701" s="25">
        <f t="shared" si="668"/>
        <v>0</v>
      </c>
      <c r="I701" s="25">
        <f t="shared" si="669"/>
        <v>0</v>
      </c>
      <c r="J701" s="25">
        <f t="shared" si="670"/>
        <v>0</v>
      </c>
      <c r="K701" s="26" t="s">
        <v>53</v>
      </c>
      <c r="Z701" s="25">
        <f t="shared" si="671"/>
        <v>0</v>
      </c>
      <c r="AB701" s="25">
        <f t="shared" si="672"/>
        <v>0</v>
      </c>
      <c r="AC701" s="25">
        <f t="shared" si="673"/>
        <v>0</v>
      </c>
      <c r="AD701" s="25">
        <f t="shared" si="674"/>
        <v>0</v>
      </c>
      <c r="AE701" s="25">
        <f t="shared" si="675"/>
        <v>0</v>
      </c>
      <c r="AF701" s="25">
        <f t="shared" si="676"/>
        <v>0</v>
      </c>
      <c r="AG701" s="25">
        <f t="shared" si="677"/>
        <v>0</v>
      </c>
      <c r="AH701" s="25">
        <f t="shared" si="678"/>
        <v>0</v>
      </c>
      <c r="AI701" s="11" t="s">
        <v>46</v>
      </c>
      <c r="AJ701" s="25">
        <f t="shared" si="679"/>
        <v>0</v>
      </c>
      <c r="AK701" s="25">
        <f t="shared" si="680"/>
        <v>0</v>
      </c>
      <c r="AL701" s="25">
        <f t="shared" si="681"/>
        <v>0</v>
      </c>
      <c r="AN701" s="25">
        <v>21</v>
      </c>
      <c r="AO701" s="25">
        <f t="shared" si="690"/>
        <v>0</v>
      </c>
      <c r="AP701" s="25">
        <f t="shared" si="691"/>
        <v>0</v>
      </c>
      <c r="AQ701" s="27" t="s">
        <v>58</v>
      </c>
      <c r="AV701" s="25">
        <f t="shared" si="682"/>
        <v>0</v>
      </c>
      <c r="AW701" s="25">
        <f t="shared" si="683"/>
        <v>0</v>
      </c>
      <c r="AX701" s="25">
        <f t="shared" si="684"/>
        <v>0</v>
      </c>
      <c r="AY701" s="27" t="s">
        <v>1835</v>
      </c>
      <c r="AZ701" s="27" t="s">
        <v>305</v>
      </c>
      <c r="BA701" s="11" t="s">
        <v>56</v>
      </c>
      <c r="BC701" s="25">
        <f t="shared" si="685"/>
        <v>0</v>
      </c>
      <c r="BD701" s="25">
        <f t="shared" si="686"/>
        <v>0</v>
      </c>
      <c r="BE701" s="25">
        <v>0</v>
      </c>
      <c r="BF701" s="25">
        <f>701</f>
        <v>701</v>
      </c>
      <c r="BH701" s="25">
        <f t="shared" si="687"/>
        <v>0</v>
      </c>
      <c r="BI701" s="25">
        <f t="shared" si="688"/>
        <v>0</v>
      </c>
      <c r="BJ701" s="25">
        <f t="shared" si="689"/>
        <v>0</v>
      </c>
      <c r="BK701" s="27" t="s">
        <v>57</v>
      </c>
      <c r="BL701" s="25"/>
      <c r="BW701" s="25">
        <v>21</v>
      </c>
      <c r="BX701" s="5" t="s">
        <v>2108</v>
      </c>
    </row>
    <row r="702" spans="1:76" ht="25.5" x14ac:dyDescent="0.25">
      <c r="A702" s="2" t="s">
        <v>2109</v>
      </c>
      <c r="B702" s="3" t="s">
        <v>2110</v>
      </c>
      <c r="C702" s="93" t="s">
        <v>2111</v>
      </c>
      <c r="D702" s="94"/>
      <c r="E702" s="3" t="s">
        <v>131</v>
      </c>
      <c r="F702" s="25">
        <v>650</v>
      </c>
      <c r="G702" s="25">
        <v>0</v>
      </c>
      <c r="H702" s="25">
        <f t="shared" si="668"/>
        <v>0</v>
      </c>
      <c r="I702" s="25">
        <f t="shared" si="669"/>
        <v>0</v>
      </c>
      <c r="J702" s="25">
        <f t="shared" si="670"/>
        <v>0</v>
      </c>
      <c r="K702" s="26" t="s">
        <v>53</v>
      </c>
      <c r="Z702" s="25">
        <f t="shared" si="671"/>
        <v>0</v>
      </c>
      <c r="AB702" s="25">
        <f t="shared" si="672"/>
        <v>0</v>
      </c>
      <c r="AC702" s="25">
        <f t="shared" si="673"/>
        <v>0</v>
      </c>
      <c r="AD702" s="25">
        <f t="shared" si="674"/>
        <v>0</v>
      </c>
      <c r="AE702" s="25">
        <f t="shared" si="675"/>
        <v>0</v>
      </c>
      <c r="AF702" s="25">
        <f t="shared" si="676"/>
        <v>0</v>
      </c>
      <c r="AG702" s="25">
        <f t="shared" si="677"/>
        <v>0</v>
      </c>
      <c r="AH702" s="25">
        <f t="shared" si="678"/>
        <v>0</v>
      </c>
      <c r="AI702" s="11" t="s">
        <v>46</v>
      </c>
      <c r="AJ702" s="25">
        <f t="shared" si="679"/>
        <v>0</v>
      </c>
      <c r="AK702" s="25">
        <f t="shared" si="680"/>
        <v>0</v>
      </c>
      <c r="AL702" s="25">
        <f t="shared" si="681"/>
        <v>0</v>
      </c>
      <c r="AN702" s="25">
        <v>21</v>
      </c>
      <c r="AO702" s="25">
        <f t="shared" si="690"/>
        <v>0</v>
      </c>
      <c r="AP702" s="25">
        <f t="shared" si="691"/>
        <v>0</v>
      </c>
      <c r="AQ702" s="27" t="s">
        <v>58</v>
      </c>
      <c r="AV702" s="25">
        <f t="shared" si="682"/>
        <v>0</v>
      </c>
      <c r="AW702" s="25">
        <f t="shared" si="683"/>
        <v>0</v>
      </c>
      <c r="AX702" s="25">
        <f t="shared" si="684"/>
        <v>0</v>
      </c>
      <c r="AY702" s="27" t="s">
        <v>1835</v>
      </c>
      <c r="AZ702" s="27" t="s">
        <v>305</v>
      </c>
      <c r="BA702" s="11" t="s">
        <v>56</v>
      </c>
      <c r="BC702" s="25">
        <f t="shared" si="685"/>
        <v>0</v>
      </c>
      <c r="BD702" s="25">
        <f t="shared" si="686"/>
        <v>0</v>
      </c>
      <c r="BE702" s="25">
        <v>0</v>
      </c>
      <c r="BF702" s="25">
        <f>702</f>
        <v>702</v>
      </c>
      <c r="BH702" s="25">
        <f t="shared" si="687"/>
        <v>0</v>
      </c>
      <c r="BI702" s="25">
        <f t="shared" si="688"/>
        <v>0</v>
      </c>
      <c r="BJ702" s="25">
        <f t="shared" si="689"/>
        <v>0</v>
      </c>
      <c r="BK702" s="27" t="s">
        <v>57</v>
      </c>
      <c r="BL702" s="25"/>
      <c r="BW702" s="25">
        <v>21</v>
      </c>
      <c r="BX702" s="5" t="s">
        <v>2111</v>
      </c>
    </row>
    <row r="703" spans="1:76" ht="25.5" x14ac:dyDescent="0.25">
      <c r="A703" s="2" t="s">
        <v>2112</v>
      </c>
      <c r="B703" s="3" t="s">
        <v>2113</v>
      </c>
      <c r="C703" s="93" t="s">
        <v>2114</v>
      </c>
      <c r="D703" s="94"/>
      <c r="E703" s="3" t="s">
        <v>93</v>
      </c>
      <c r="F703" s="25">
        <v>0.7</v>
      </c>
      <c r="G703" s="25">
        <v>0</v>
      </c>
      <c r="H703" s="25">
        <f t="shared" si="668"/>
        <v>0</v>
      </c>
      <c r="I703" s="25">
        <f t="shared" si="669"/>
        <v>0</v>
      </c>
      <c r="J703" s="25">
        <f t="shared" si="670"/>
        <v>0</v>
      </c>
      <c r="K703" s="26" t="s">
        <v>53</v>
      </c>
      <c r="Z703" s="25">
        <f t="shared" si="671"/>
        <v>0</v>
      </c>
      <c r="AB703" s="25">
        <f t="shared" si="672"/>
        <v>0</v>
      </c>
      <c r="AC703" s="25">
        <f t="shared" si="673"/>
        <v>0</v>
      </c>
      <c r="AD703" s="25">
        <f t="shared" si="674"/>
        <v>0</v>
      </c>
      <c r="AE703" s="25">
        <f t="shared" si="675"/>
        <v>0</v>
      </c>
      <c r="AF703" s="25">
        <f t="shared" si="676"/>
        <v>0</v>
      </c>
      <c r="AG703" s="25">
        <f t="shared" si="677"/>
        <v>0</v>
      </c>
      <c r="AH703" s="25">
        <f t="shared" si="678"/>
        <v>0</v>
      </c>
      <c r="AI703" s="11" t="s">
        <v>46</v>
      </c>
      <c r="AJ703" s="25">
        <f t="shared" si="679"/>
        <v>0</v>
      </c>
      <c r="AK703" s="25">
        <f t="shared" si="680"/>
        <v>0</v>
      </c>
      <c r="AL703" s="25">
        <f t="shared" si="681"/>
        <v>0</v>
      </c>
      <c r="AN703" s="25">
        <v>21</v>
      </c>
      <c r="AO703" s="25">
        <f t="shared" si="690"/>
        <v>0</v>
      </c>
      <c r="AP703" s="25">
        <f t="shared" si="691"/>
        <v>0</v>
      </c>
      <c r="AQ703" s="27" t="s">
        <v>58</v>
      </c>
      <c r="AV703" s="25">
        <f t="shared" si="682"/>
        <v>0</v>
      </c>
      <c r="AW703" s="25">
        <f t="shared" si="683"/>
        <v>0</v>
      </c>
      <c r="AX703" s="25">
        <f t="shared" si="684"/>
        <v>0</v>
      </c>
      <c r="AY703" s="27" t="s">
        <v>1835</v>
      </c>
      <c r="AZ703" s="27" t="s">
        <v>305</v>
      </c>
      <c r="BA703" s="11" t="s">
        <v>56</v>
      </c>
      <c r="BC703" s="25">
        <f t="shared" si="685"/>
        <v>0</v>
      </c>
      <c r="BD703" s="25">
        <f t="shared" si="686"/>
        <v>0</v>
      </c>
      <c r="BE703" s="25">
        <v>0</v>
      </c>
      <c r="BF703" s="25">
        <f>703</f>
        <v>703</v>
      </c>
      <c r="BH703" s="25">
        <f t="shared" si="687"/>
        <v>0</v>
      </c>
      <c r="BI703" s="25">
        <f t="shared" si="688"/>
        <v>0</v>
      </c>
      <c r="BJ703" s="25">
        <f t="shared" si="689"/>
        <v>0</v>
      </c>
      <c r="BK703" s="27" t="s">
        <v>57</v>
      </c>
      <c r="BL703" s="25"/>
      <c r="BW703" s="25">
        <v>21</v>
      </c>
      <c r="BX703" s="5" t="s">
        <v>2114</v>
      </c>
    </row>
    <row r="704" spans="1:76" x14ac:dyDescent="0.25">
      <c r="A704" s="2" t="s">
        <v>2115</v>
      </c>
      <c r="B704" s="3" t="s">
        <v>2116</v>
      </c>
      <c r="C704" s="93" t="s">
        <v>2117</v>
      </c>
      <c r="D704" s="94"/>
      <c r="E704" s="3" t="s">
        <v>796</v>
      </c>
      <c r="F704" s="25">
        <v>4</v>
      </c>
      <c r="G704" s="25">
        <v>0</v>
      </c>
      <c r="H704" s="25">
        <f t="shared" si="668"/>
        <v>0</v>
      </c>
      <c r="I704" s="25">
        <f t="shared" si="669"/>
        <v>0</v>
      </c>
      <c r="J704" s="25">
        <f t="shared" si="670"/>
        <v>0</v>
      </c>
      <c r="K704" s="26" t="s">
        <v>53</v>
      </c>
      <c r="Z704" s="25">
        <f t="shared" si="671"/>
        <v>0</v>
      </c>
      <c r="AB704" s="25">
        <f t="shared" si="672"/>
        <v>0</v>
      </c>
      <c r="AC704" s="25">
        <f t="shared" si="673"/>
        <v>0</v>
      </c>
      <c r="AD704" s="25">
        <f t="shared" si="674"/>
        <v>0</v>
      </c>
      <c r="AE704" s="25">
        <f t="shared" si="675"/>
        <v>0</v>
      </c>
      <c r="AF704" s="25">
        <f t="shared" si="676"/>
        <v>0</v>
      </c>
      <c r="AG704" s="25">
        <f t="shared" si="677"/>
        <v>0</v>
      </c>
      <c r="AH704" s="25">
        <f t="shared" si="678"/>
        <v>0</v>
      </c>
      <c r="AI704" s="11" t="s">
        <v>46</v>
      </c>
      <c r="AJ704" s="25">
        <f t="shared" si="679"/>
        <v>0</v>
      </c>
      <c r="AK704" s="25">
        <f t="shared" si="680"/>
        <v>0</v>
      </c>
      <c r="AL704" s="25">
        <f t="shared" si="681"/>
        <v>0</v>
      </c>
      <c r="AN704" s="25">
        <v>21</v>
      </c>
      <c r="AO704" s="25">
        <f t="shared" si="690"/>
        <v>0</v>
      </c>
      <c r="AP704" s="25">
        <f t="shared" si="691"/>
        <v>0</v>
      </c>
      <c r="AQ704" s="27" t="s">
        <v>58</v>
      </c>
      <c r="AV704" s="25">
        <f t="shared" si="682"/>
        <v>0</v>
      </c>
      <c r="AW704" s="25">
        <f t="shared" si="683"/>
        <v>0</v>
      </c>
      <c r="AX704" s="25">
        <f t="shared" si="684"/>
        <v>0</v>
      </c>
      <c r="AY704" s="27" t="s">
        <v>1835</v>
      </c>
      <c r="AZ704" s="27" t="s">
        <v>305</v>
      </c>
      <c r="BA704" s="11" t="s">
        <v>56</v>
      </c>
      <c r="BC704" s="25">
        <f t="shared" si="685"/>
        <v>0</v>
      </c>
      <c r="BD704" s="25">
        <f t="shared" si="686"/>
        <v>0</v>
      </c>
      <c r="BE704" s="25">
        <v>0</v>
      </c>
      <c r="BF704" s="25">
        <f>704</f>
        <v>704</v>
      </c>
      <c r="BH704" s="25">
        <f t="shared" si="687"/>
        <v>0</v>
      </c>
      <c r="BI704" s="25">
        <f t="shared" si="688"/>
        <v>0</v>
      </c>
      <c r="BJ704" s="25">
        <f t="shared" si="689"/>
        <v>0</v>
      </c>
      <c r="BK704" s="27" t="s">
        <v>57</v>
      </c>
      <c r="BL704" s="25"/>
      <c r="BW704" s="25">
        <v>21</v>
      </c>
      <c r="BX704" s="5" t="s">
        <v>2117</v>
      </c>
    </row>
    <row r="705" spans="1:76" x14ac:dyDescent="0.25">
      <c r="A705" s="2" t="s">
        <v>2118</v>
      </c>
      <c r="B705" s="3" t="s">
        <v>2119</v>
      </c>
      <c r="C705" s="93" t="s">
        <v>2120</v>
      </c>
      <c r="D705" s="94"/>
      <c r="E705" s="3" t="s">
        <v>796</v>
      </c>
      <c r="F705" s="25">
        <v>5</v>
      </c>
      <c r="G705" s="25">
        <v>0</v>
      </c>
      <c r="H705" s="25">
        <f t="shared" si="668"/>
        <v>0</v>
      </c>
      <c r="I705" s="25">
        <f t="shared" si="669"/>
        <v>0</v>
      </c>
      <c r="J705" s="25">
        <f t="shared" si="670"/>
        <v>0</v>
      </c>
      <c r="K705" s="26" t="s">
        <v>53</v>
      </c>
      <c r="Z705" s="25">
        <f t="shared" si="671"/>
        <v>0</v>
      </c>
      <c r="AB705" s="25">
        <f t="shared" si="672"/>
        <v>0</v>
      </c>
      <c r="AC705" s="25">
        <f t="shared" si="673"/>
        <v>0</v>
      </c>
      <c r="AD705" s="25">
        <f t="shared" si="674"/>
        <v>0</v>
      </c>
      <c r="AE705" s="25">
        <f t="shared" si="675"/>
        <v>0</v>
      </c>
      <c r="AF705" s="25">
        <f t="shared" si="676"/>
        <v>0</v>
      </c>
      <c r="AG705" s="25">
        <f t="shared" si="677"/>
        <v>0</v>
      </c>
      <c r="AH705" s="25">
        <f t="shared" si="678"/>
        <v>0</v>
      </c>
      <c r="AI705" s="11" t="s">
        <v>46</v>
      </c>
      <c r="AJ705" s="25">
        <f t="shared" si="679"/>
        <v>0</v>
      </c>
      <c r="AK705" s="25">
        <f t="shared" si="680"/>
        <v>0</v>
      </c>
      <c r="AL705" s="25">
        <f t="shared" si="681"/>
        <v>0</v>
      </c>
      <c r="AN705" s="25">
        <v>21</v>
      </c>
      <c r="AO705" s="25">
        <f t="shared" si="690"/>
        <v>0</v>
      </c>
      <c r="AP705" s="25">
        <f t="shared" si="691"/>
        <v>0</v>
      </c>
      <c r="AQ705" s="27" t="s">
        <v>58</v>
      </c>
      <c r="AV705" s="25">
        <f t="shared" si="682"/>
        <v>0</v>
      </c>
      <c r="AW705" s="25">
        <f t="shared" si="683"/>
        <v>0</v>
      </c>
      <c r="AX705" s="25">
        <f t="shared" si="684"/>
        <v>0</v>
      </c>
      <c r="AY705" s="27" t="s">
        <v>1835</v>
      </c>
      <c r="AZ705" s="27" t="s">
        <v>305</v>
      </c>
      <c r="BA705" s="11" t="s">
        <v>56</v>
      </c>
      <c r="BC705" s="25">
        <f t="shared" si="685"/>
        <v>0</v>
      </c>
      <c r="BD705" s="25">
        <f t="shared" si="686"/>
        <v>0</v>
      </c>
      <c r="BE705" s="25">
        <v>0</v>
      </c>
      <c r="BF705" s="25">
        <f>705</f>
        <v>705</v>
      </c>
      <c r="BH705" s="25">
        <f t="shared" si="687"/>
        <v>0</v>
      </c>
      <c r="BI705" s="25">
        <f t="shared" si="688"/>
        <v>0</v>
      </c>
      <c r="BJ705" s="25">
        <f t="shared" si="689"/>
        <v>0</v>
      </c>
      <c r="BK705" s="27" t="s">
        <v>57</v>
      </c>
      <c r="BL705" s="25"/>
      <c r="BW705" s="25">
        <v>21</v>
      </c>
      <c r="BX705" s="5" t="s">
        <v>2120</v>
      </c>
    </row>
    <row r="706" spans="1:76" x14ac:dyDescent="0.25">
      <c r="A706" s="2" t="s">
        <v>2121</v>
      </c>
      <c r="B706" s="3" t="s">
        <v>2122</v>
      </c>
      <c r="C706" s="93" t="s">
        <v>2123</v>
      </c>
      <c r="D706" s="94"/>
      <c r="E706" s="3" t="s">
        <v>52</v>
      </c>
      <c r="F706" s="25">
        <v>1</v>
      </c>
      <c r="G706" s="25">
        <v>0</v>
      </c>
      <c r="H706" s="25">
        <f t="shared" si="668"/>
        <v>0</v>
      </c>
      <c r="I706" s="25">
        <f t="shared" si="669"/>
        <v>0</v>
      </c>
      <c r="J706" s="25">
        <f t="shared" si="670"/>
        <v>0</v>
      </c>
      <c r="K706" s="26" t="s">
        <v>53</v>
      </c>
      <c r="Z706" s="25">
        <f t="shared" si="671"/>
        <v>0</v>
      </c>
      <c r="AB706" s="25">
        <f t="shared" si="672"/>
        <v>0</v>
      </c>
      <c r="AC706" s="25">
        <f t="shared" si="673"/>
        <v>0</v>
      </c>
      <c r="AD706" s="25">
        <f t="shared" si="674"/>
        <v>0</v>
      </c>
      <c r="AE706" s="25">
        <f t="shared" si="675"/>
        <v>0</v>
      </c>
      <c r="AF706" s="25">
        <f t="shared" si="676"/>
        <v>0</v>
      </c>
      <c r="AG706" s="25">
        <f t="shared" si="677"/>
        <v>0</v>
      </c>
      <c r="AH706" s="25">
        <f t="shared" si="678"/>
        <v>0</v>
      </c>
      <c r="AI706" s="11" t="s">
        <v>46</v>
      </c>
      <c r="AJ706" s="25">
        <f t="shared" si="679"/>
        <v>0</v>
      </c>
      <c r="AK706" s="25">
        <f t="shared" si="680"/>
        <v>0</v>
      </c>
      <c r="AL706" s="25">
        <f t="shared" si="681"/>
        <v>0</v>
      </c>
      <c r="AN706" s="25">
        <v>21</v>
      </c>
      <c r="AO706" s="25">
        <f>G706*1</f>
        <v>0</v>
      </c>
      <c r="AP706" s="25">
        <f>G706*(1-1)</f>
        <v>0</v>
      </c>
      <c r="AQ706" s="27" t="s">
        <v>58</v>
      </c>
      <c r="AV706" s="25">
        <f t="shared" ref="AV706" si="692">ROUND(AW706+AX706,2)</f>
        <v>0</v>
      </c>
      <c r="AW706" s="25">
        <f t="shared" si="683"/>
        <v>0</v>
      </c>
      <c r="AX706" s="25">
        <f t="shared" si="684"/>
        <v>0</v>
      </c>
      <c r="AY706" s="27" t="s">
        <v>1835</v>
      </c>
      <c r="AZ706" s="27" t="s">
        <v>305</v>
      </c>
      <c r="BA706" s="11" t="s">
        <v>56</v>
      </c>
      <c r="BC706" s="25">
        <f t="shared" si="685"/>
        <v>0</v>
      </c>
      <c r="BD706" s="25">
        <f t="shared" ref="BD706" si="693">G706/(100-BE706)*100</f>
        <v>0</v>
      </c>
      <c r="BE706" s="25">
        <v>0</v>
      </c>
      <c r="BF706" s="25">
        <f>706</f>
        <v>706</v>
      </c>
      <c r="BH706" s="25">
        <f t="shared" si="687"/>
        <v>0</v>
      </c>
      <c r="BI706" s="25">
        <f t="shared" si="688"/>
        <v>0</v>
      </c>
      <c r="BJ706" s="25">
        <f t="shared" si="689"/>
        <v>0</v>
      </c>
      <c r="BK706" s="27" t="s">
        <v>57</v>
      </c>
      <c r="BL706" s="25"/>
      <c r="BW706" s="25">
        <v>21</v>
      </c>
      <c r="BX706" s="5" t="s">
        <v>2123</v>
      </c>
    </row>
    <row r="707" spans="1:76" x14ac:dyDescent="0.25">
      <c r="A707" s="28" t="s">
        <v>46</v>
      </c>
      <c r="B707" s="29" t="s">
        <v>2124</v>
      </c>
      <c r="C707" s="150" t="s">
        <v>2125</v>
      </c>
      <c r="D707" s="151"/>
      <c r="E707" s="30" t="s">
        <v>4</v>
      </c>
      <c r="F707" s="30" t="s">
        <v>4</v>
      </c>
      <c r="G707" s="30" t="s">
        <v>4</v>
      </c>
      <c r="H707" s="1">
        <f>ROUND(SUM(H708:H745),1)</f>
        <v>0</v>
      </c>
      <c r="I707" s="1">
        <f>ROUND(SUM(I708:I745),1)</f>
        <v>0</v>
      </c>
      <c r="J707" s="1">
        <f>ROUND(SUM(J708:J745),1)</f>
        <v>0</v>
      </c>
      <c r="K707" s="31" t="s">
        <v>46</v>
      </c>
      <c r="AI707" s="11" t="s">
        <v>46</v>
      </c>
      <c r="AS707" s="1">
        <f>SUM(AJ708:AJ745)</f>
        <v>0</v>
      </c>
      <c r="AT707" s="1">
        <f>SUM(AK708:AK745)</f>
        <v>0</v>
      </c>
      <c r="AU707" s="1">
        <f>SUM(AL708:AL745)</f>
        <v>0</v>
      </c>
    </row>
    <row r="708" spans="1:76" x14ac:dyDescent="0.25">
      <c r="A708" s="2" t="s">
        <v>2126</v>
      </c>
      <c r="B708" s="3" t="s">
        <v>2127</v>
      </c>
      <c r="C708" s="93" t="s">
        <v>2128</v>
      </c>
      <c r="D708" s="94"/>
      <c r="E708" s="3" t="s">
        <v>52</v>
      </c>
      <c r="F708" s="25">
        <v>1</v>
      </c>
      <c r="G708" s="25">
        <v>0</v>
      </c>
      <c r="H708" s="25">
        <f t="shared" ref="H708:H745" si="694">ROUND(F708*AO708,2)</f>
        <v>0</v>
      </c>
      <c r="I708" s="25">
        <f t="shared" ref="I708:I745" si="695">ROUND(F708*AP708,2)</f>
        <v>0</v>
      </c>
      <c r="J708" s="25">
        <f t="shared" ref="J708:J745" si="696">ROUND(F708*G708,1)</f>
        <v>0</v>
      </c>
      <c r="K708" s="26" t="s">
        <v>53</v>
      </c>
      <c r="Z708" s="25">
        <f t="shared" ref="Z708:Z745" si="697">ROUND(IF(AQ708="5",BJ708,0),2)</f>
        <v>0</v>
      </c>
      <c r="AB708" s="25">
        <f t="shared" ref="AB708:AB745" si="698">ROUND(IF(AQ708="1",BH708,0),2)</f>
        <v>0</v>
      </c>
      <c r="AC708" s="25">
        <f t="shared" ref="AC708:AC745" si="699">ROUND(IF(AQ708="1",BI708,0),2)</f>
        <v>0</v>
      </c>
      <c r="AD708" s="25">
        <f t="shared" ref="AD708:AD745" si="700">ROUND(IF(AQ708="7",BH708,0),2)</f>
        <v>0</v>
      </c>
      <c r="AE708" s="25">
        <f t="shared" ref="AE708:AE745" si="701">ROUND(IF(AQ708="7",BI708,0),2)</f>
        <v>0</v>
      </c>
      <c r="AF708" s="25">
        <f t="shared" ref="AF708:AF745" si="702">ROUND(IF(AQ708="2",BH708,0),2)</f>
        <v>0</v>
      </c>
      <c r="AG708" s="25">
        <f t="shared" ref="AG708:AG745" si="703">ROUND(IF(AQ708="2",BI708,0),2)</f>
        <v>0</v>
      </c>
      <c r="AH708" s="25">
        <f t="shared" ref="AH708:AH745" si="704">ROUND(IF(AQ708="0",BJ708,0),2)</f>
        <v>0</v>
      </c>
      <c r="AI708" s="11" t="s">
        <v>46</v>
      </c>
      <c r="AJ708" s="25">
        <f t="shared" ref="AJ708:AJ745" si="705">IF(AN708=0,J708,0)</f>
        <v>0</v>
      </c>
      <c r="AK708" s="25">
        <f t="shared" ref="AK708:AK745" si="706">IF(AN708=12,J708,0)</f>
        <v>0</v>
      </c>
      <c r="AL708" s="25">
        <f t="shared" ref="AL708:AL745" si="707">IF(AN708=21,J708,0)</f>
        <v>0</v>
      </c>
      <c r="AN708" s="25">
        <v>21</v>
      </c>
      <c r="AO708" s="25">
        <f>G708*0.57</f>
        <v>0</v>
      </c>
      <c r="AP708" s="25">
        <f>G708*(1-0.57)</f>
        <v>0</v>
      </c>
      <c r="AQ708" s="27" t="s">
        <v>58</v>
      </c>
      <c r="AV708" s="25">
        <f t="shared" ref="AV708:AV745" si="708">ROUND(AW708+AX708,2)</f>
        <v>0</v>
      </c>
      <c r="AW708" s="25">
        <f t="shared" ref="AW708:AW745" si="709">ROUND(F708*AO708,2)</f>
        <v>0</v>
      </c>
      <c r="AX708" s="25">
        <f t="shared" ref="AX708:AX745" si="710">ROUND(F708*AP708,2)</f>
        <v>0</v>
      </c>
      <c r="AY708" s="27" t="s">
        <v>2129</v>
      </c>
      <c r="AZ708" s="27" t="s">
        <v>305</v>
      </c>
      <c r="BA708" s="11" t="s">
        <v>56</v>
      </c>
      <c r="BC708" s="25">
        <f t="shared" ref="BC708:BC745" si="711">AW708+AX708</f>
        <v>0</v>
      </c>
      <c r="BD708" s="25">
        <f t="shared" ref="BD708:BD745" si="712">G708/(100-BE708)*100</f>
        <v>0</v>
      </c>
      <c r="BE708" s="25">
        <v>0</v>
      </c>
      <c r="BF708" s="25">
        <f>708</f>
        <v>708</v>
      </c>
      <c r="BH708" s="25">
        <f t="shared" ref="BH708:BH745" si="713">F708*AO708</f>
        <v>0</v>
      </c>
      <c r="BI708" s="25">
        <f t="shared" ref="BI708:BI745" si="714">F708*AP708</f>
        <v>0</v>
      </c>
      <c r="BJ708" s="25">
        <f t="shared" ref="BJ708:BJ745" si="715">F708*G708</f>
        <v>0</v>
      </c>
      <c r="BK708" s="27" t="s">
        <v>57</v>
      </c>
      <c r="BL708" s="25"/>
      <c r="BW708" s="25">
        <v>21</v>
      </c>
      <c r="BX708" s="5" t="s">
        <v>2128</v>
      </c>
    </row>
    <row r="709" spans="1:76" x14ac:dyDescent="0.25">
      <c r="A709" s="2" t="s">
        <v>2130</v>
      </c>
      <c r="B709" s="3" t="s">
        <v>2131</v>
      </c>
      <c r="C709" s="93" t="s">
        <v>2132</v>
      </c>
      <c r="D709" s="94"/>
      <c r="E709" s="3" t="s">
        <v>52</v>
      </c>
      <c r="F709" s="25">
        <v>2</v>
      </c>
      <c r="G709" s="25">
        <v>0</v>
      </c>
      <c r="H709" s="25">
        <f t="shared" si="694"/>
        <v>0</v>
      </c>
      <c r="I709" s="25">
        <f t="shared" si="695"/>
        <v>0</v>
      </c>
      <c r="J709" s="25">
        <f t="shared" si="696"/>
        <v>0</v>
      </c>
      <c r="K709" s="26" t="s">
        <v>53</v>
      </c>
      <c r="Z709" s="25">
        <f t="shared" si="697"/>
        <v>0</v>
      </c>
      <c r="AB709" s="25">
        <f t="shared" si="698"/>
        <v>0</v>
      </c>
      <c r="AC709" s="25">
        <f t="shared" si="699"/>
        <v>0</v>
      </c>
      <c r="AD709" s="25">
        <f t="shared" si="700"/>
        <v>0</v>
      </c>
      <c r="AE709" s="25">
        <f t="shared" si="701"/>
        <v>0</v>
      </c>
      <c r="AF709" s="25">
        <f t="shared" si="702"/>
        <v>0</v>
      </c>
      <c r="AG709" s="25">
        <f t="shared" si="703"/>
        <v>0</v>
      </c>
      <c r="AH709" s="25">
        <f t="shared" si="704"/>
        <v>0</v>
      </c>
      <c r="AI709" s="11" t="s">
        <v>46</v>
      </c>
      <c r="AJ709" s="25">
        <f t="shared" si="705"/>
        <v>0</v>
      </c>
      <c r="AK709" s="25">
        <f t="shared" si="706"/>
        <v>0</v>
      </c>
      <c r="AL709" s="25">
        <f t="shared" si="707"/>
        <v>0</v>
      </c>
      <c r="AN709" s="25">
        <v>21</v>
      </c>
      <c r="AO709" s="25">
        <f>G709*0.570004083</f>
        <v>0</v>
      </c>
      <c r="AP709" s="25">
        <f>G709*(1-0.570004083)</f>
        <v>0</v>
      </c>
      <c r="AQ709" s="27" t="s">
        <v>58</v>
      </c>
      <c r="AV709" s="25">
        <f t="shared" si="708"/>
        <v>0</v>
      </c>
      <c r="AW709" s="25">
        <f t="shared" si="709"/>
        <v>0</v>
      </c>
      <c r="AX709" s="25">
        <f t="shared" si="710"/>
        <v>0</v>
      </c>
      <c r="AY709" s="27" t="s">
        <v>2129</v>
      </c>
      <c r="AZ709" s="27" t="s">
        <v>305</v>
      </c>
      <c r="BA709" s="11" t="s">
        <v>56</v>
      </c>
      <c r="BC709" s="25">
        <f t="shared" si="711"/>
        <v>0</v>
      </c>
      <c r="BD709" s="25">
        <f t="shared" si="712"/>
        <v>0</v>
      </c>
      <c r="BE709" s="25">
        <v>0</v>
      </c>
      <c r="BF709" s="25">
        <f>709</f>
        <v>709</v>
      </c>
      <c r="BH709" s="25">
        <f t="shared" si="713"/>
        <v>0</v>
      </c>
      <c r="BI709" s="25">
        <f t="shared" si="714"/>
        <v>0</v>
      </c>
      <c r="BJ709" s="25">
        <f t="shared" si="715"/>
        <v>0</v>
      </c>
      <c r="BK709" s="27" t="s">
        <v>57</v>
      </c>
      <c r="BL709" s="25"/>
      <c r="BW709" s="25">
        <v>21</v>
      </c>
      <c r="BX709" s="5" t="s">
        <v>2132</v>
      </c>
    </row>
    <row r="710" spans="1:76" x14ac:dyDescent="0.25">
      <c r="A710" s="2" t="s">
        <v>2133</v>
      </c>
      <c r="B710" s="3" t="s">
        <v>2134</v>
      </c>
      <c r="C710" s="93" t="s">
        <v>2135</v>
      </c>
      <c r="D710" s="94"/>
      <c r="E710" s="3" t="s">
        <v>52</v>
      </c>
      <c r="F710" s="25">
        <v>11</v>
      </c>
      <c r="G710" s="25">
        <v>0</v>
      </c>
      <c r="H710" s="25">
        <f t="shared" si="694"/>
        <v>0</v>
      </c>
      <c r="I710" s="25">
        <f t="shared" si="695"/>
        <v>0</v>
      </c>
      <c r="J710" s="25">
        <f t="shared" si="696"/>
        <v>0</v>
      </c>
      <c r="K710" s="26" t="s">
        <v>53</v>
      </c>
      <c r="Z710" s="25">
        <f t="shared" si="697"/>
        <v>0</v>
      </c>
      <c r="AB710" s="25">
        <f t="shared" si="698"/>
        <v>0</v>
      </c>
      <c r="AC710" s="25">
        <f t="shared" si="699"/>
        <v>0</v>
      </c>
      <c r="AD710" s="25">
        <f t="shared" si="700"/>
        <v>0</v>
      </c>
      <c r="AE710" s="25">
        <f t="shared" si="701"/>
        <v>0</v>
      </c>
      <c r="AF710" s="25">
        <f t="shared" si="702"/>
        <v>0</v>
      </c>
      <c r="AG710" s="25">
        <f t="shared" si="703"/>
        <v>0</v>
      </c>
      <c r="AH710" s="25">
        <f t="shared" si="704"/>
        <v>0</v>
      </c>
      <c r="AI710" s="11" t="s">
        <v>46</v>
      </c>
      <c r="AJ710" s="25">
        <f t="shared" si="705"/>
        <v>0</v>
      </c>
      <c r="AK710" s="25">
        <f t="shared" si="706"/>
        <v>0</v>
      </c>
      <c r="AL710" s="25">
        <f t="shared" si="707"/>
        <v>0</v>
      </c>
      <c r="AN710" s="25">
        <v>21</v>
      </c>
      <c r="AO710" s="25">
        <f>G710*0.57</f>
        <v>0</v>
      </c>
      <c r="AP710" s="25">
        <f>G710*(1-0.57)</f>
        <v>0</v>
      </c>
      <c r="AQ710" s="27" t="s">
        <v>58</v>
      </c>
      <c r="AV710" s="25">
        <f t="shared" si="708"/>
        <v>0</v>
      </c>
      <c r="AW710" s="25">
        <f t="shared" si="709"/>
        <v>0</v>
      </c>
      <c r="AX710" s="25">
        <f t="shared" si="710"/>
        <v>0</v>
      </c>
      <c r="AY710" s="27" t="s">
        <v>2129</v>
      </c>
      <c r="AZ710" s="27" t="s">
        <v>305</v>
      </c>
      <c r="BA710" s="11" t="s">
        <v>56</v>
      </c>
      <c r="BC710" s="25">
        <f t="shared" si="711"/>
        <v>0</v>
      </c>
      <c r="BD710" s="25">
        <f t="shared" si="712"/>
        <v>0</v>
      </c>
      <c r="BE710" s="25">
        <v>0</v>
      </c>
      <c r="BF710" s="25">
        <f>710</f>
        <v>710</v>
      </c>
      <c r="BH710" s="25">
        <f t="shared" si="713"/>
        <v>0</v>
      </c>
      <c r="BI710" s="25">
        <f t="shared" si="714"/>
        <v>0</v>
      </c>
      <c r="BJ710" s="25">
        <f t="shared" si="715"/>
        <v>0</v>
      </c>
      <c r="BK710" s="27" t="s">
        <v>57</v>
      </c>
      <c r="BL710" s="25"/>
      <c r="BW710" s="25">
        <v>21</v>
      </c>
      <c r="BX710" s="5" t="s">
        <v>2135</v>
      </c>
    </row>
    <row r="711" spans="1:76" x14ac:dyDescent="0.25">
      <c r="A711" s="2" t="s">
        <v>2136</v>
      </c>
      <c r="B711" s="3" t="s">
        <v>2137</v>
      </c>
      <c r="C711" s="93" t="s">
        <v>2138</v>
      </c>
      <c r="D711" s="94"/>
      <c r="E711" s="3" t="s">
        <v>52</v>
      </c>
      <c r="F711" s="25">
        <v>22</v>
      </c>
      <c r="G711" s="25">
        <v>0</v>
      </c>
      <c r="H711" s="25">
        <f t="shared" si="694"/>
        <v>0</v>
      </c>
      <c r="I711" s="25">
        <f t="shared" si="695"/>
        <v>0</v>
      </c>
      <c r="J711" s="25">
        <f t="shared" si="696"/>
        <v>0</v>
      </c>
      <c r="K711" s="26" t="s">
        <v>53</v>
      </c>
      <c r="Z711" s="25">
        <f t="shared" si="697"/>
        <v>0</v>
      </c>
      <c r="AB711" s="25">
        <f t="shared" si="698"/>
        <v>0</v>
      </c>
      <c r="AC711" s="25">
        <f t="shared" si="699"/>
        <v>0</v>
      </c>
      <c r="AD711" s="25">
        <f t="shared" si="700"/>
        <v>0</v>
      </c>
      <c r="AE711" s="25">
        <f t="shared" si="701"/>
        <v>0</v>
      </c>
      <c r="AF711" s="25">
        <f t="shared" si="702"/>
        <v>0</v>
      </c>
      <c r="AG711" s="25">
        <f t="shared" si="703"/>
        <v>0</v>
      </c>
      <c r="AH711" s="25">
        <f t="shared" si="704"/>
        <v>0</v>
      </c>
      <c r="AI711" s="11" t="s">
        <v>46</v>
      </c>
      <c r="AJ711" s="25">
        <f t="shared" si="705"/>
        <v>0</v>
      </c>
      <c r="AK711" s="25">
        <f t="shared" si="706"/>
        <v>0</v>
      </c>
      <c r="AL711" s="25">
        <f t="shared" si="707"/>
        <v>0</v>
      </c>
      <c r="AN711" s="25">
        <v>21</v>
      </c>
      <c r="AO711" s="25">
        <f>G711*0.569998909</f>
        <v>0</v>
      </c>
      <c r="AP711" s="25">
        <f>G711*(1-0.569998909)</f>
        <v>0</v>
      </c>
      <c r="AQ711" s="27" t="s">
        <v>58</v>
      </c>
      <c r="AV711" s="25">
        <f t="shared" si="708"/>
        <v>0</v>
      </c>
      <c r="AW711" s="25">
        <f t="shared" si="709"/>
        <v>0</v>
      </c>
      <c r="AX711" s="25">
        <f t="shared" si="710"/>
        <v>0</v>
      </c>
      <c r="AY711" s="27" t="s">
        <v>2129</v>
      </c>
      <c r="AZ711" s="27" t="s">
        <v>305</v>
      </c>
      <c r="BA711" s="11" t="s">
        <v>56</v>
      </c>
      <c r="BC711" s="25">
        <f t="shared" si="711"/>
        <v>0</v>
      </c>
      <c r="BD711" s="25">
        <f t="shared" si="712"/>
        <v>0</v>
      </c>
      <c r="BE711" s="25">
        <v>0</v>
      </c>
      <c r="BF711" s="25">
        <f>711</f>
        <v>711</v>
      </c>
      <c r="BH711" s="25">
        <f t="shared" si="713"/>
        <v>0</v>
      </c>
      <c r="BI711" s="25">
        <f t="shared" si="714"/>
        <v>0</v>
      </c>
      <c r="BJ711" s="25">
        <f t="shared" si="715"/>
        <v>0</v>
      </c>
      <c r="BK711" s="27" t="s">
        <v>57</v>
      </c>
      <c r="BL711" s="25"/>
      <c r="BW711" s="25">
        <v>21</v>
      </c>
      <c r="BX711" s="5" t="s">
        <v>2138</v>
      </c>
    </row>
    <row r="712" spans="1:76" x14ac:dyDescent="0.25">
      <c r="A712" s="2" t="s">
        <v>2139</v>
      </c>
      <c r="B712" s="3" t="s">
        <v>2140</v>
      </c>
      <c r="C712" s="93" t="s">
        <v>2141</v>
      </c>
      <c r="D712" s="94"/>
      <c r="E712" s="3" t="s">
        <v>52</v>
      </c>
      <c r="F712" s="25">
        <v>11</v>
      </c>
      <c r="G712" s="25">
        <v>0</v>
      </c>
      <c r="H712" s="25">
        <f t="shared" si="694"/>
        <v>0</v>
      </c>
      <c r="I712" s="25">
        <f t="shared" si="695"/>
        <v>0</v>
      </c>
      <c r="J712" s="25">
        <f t="shared" si="696"/>
        <v>0</v>
      </c>
      <c r="K712" s="26" t="s">
        <v>53</v>
      </c>
      <c r="Z712" s="25">
        <f t="shared" si="697"/>
        <v>0</v>
      </c>
      <c r="AB712" s="25">
        <f t="shared" si="698"/>
        <v>0</v>
      </c>
      <c r="AC712" s="25">
        <f t="shared" si="699"/>
        <v>0</v>
      </c>
      <c r="AD712" s="25">
        <f t="shared" si="700"/>
        <v>0</v>
      </c>
      <c r="AE712" s="25">
        <f t="shared" si="701"/>
        <v>0</v>
      </c>
      <c r="AF712" s="25">
        <f t="shared" si="702"/>
        <v>0</v>
      </c>
      <c r="AG712" s="25">
        <f t="shared" si="703"/>
        <v>0</v>
      </c>
      <c r="AH712" s="25">
        <f t="shared" si="704"/>
        <v>0</v>
      </c>
      <c r="AI712" s="11" t="s">
        <v>46</v>
      </c>
      <c r="AJ712" s="25">
        <f t="shared" si="705"/>
        <v>0</v>
      </c>
      <c r="AK712" s="25">
        <f t="shared" si="706"/>
        <v>0</v>
      </c>
      <c r="AL712" s="25">
        <f t="shared" si="707"/>
        <v>0</v>
      </c>
      <c r="AN712" s="25">
        <v>21</v>
      </c>
      <c r="AO712" s="25">
        <f>G712*0.570002643</f>
        <v>0</v>
      </c>
      <c r="AP712" s="25">
        <f>G712*(1-0.570002643)</f>
        <v>0</v>
      </c>
      <c r="AQ712" s="27" t="s">
        <v>58</v>
      </c>
      <c r="AV712" s="25">
        <f t="shared" si="708"/>
        <v>0</v>
      </c>
      <c r="AW712" s="25">
        <f t="shared" si="709"/>
        <v>0</v>
      </c>
      <c r="AX712" s="25">
        <f t="shared" si="710"/>
        <v>0</v>
      </c>
      <c r="AY712" s="27" t="s">
        <v>2129</v>
      </c>
      <c r="AZ712" s="27" t="s">
        <v>305</v>
      </c>
      <c r="BA712" s="11" t="s">
        <v>56</v>
      </c>
      <c r="BC712" s="25">
        <f t="shared" si="711"/>
        <v>0</v>
      </c>
      <c r="BD712" s="25">
        <f t="shared" si="712"/>
        <v>0</v>
      </c>
      <c r="BE712" s="25">
        <v>0</v>
      </c>
      <c r="BF712" s="25">
        <f>712</f>
        <v>712</v>
      </c>
      <c r="BH712" s="25">
        <f t="shared" si="713"/>
        <v>0</v>
      </c>
      <c r="BI712" s="25">
        <f t="shared" si="714"/>
        <v>0</v>
      </c>
      <c r="BJ712" s="25">
        <f t="shared" si="715"/>
        <v>0</v>
      </c>
      <c r="BK712" s="27" t="s">
        <v>57</v>
      </c>
      <c r="BL712" s="25"/>
      <c r="BW712" s="25">
        <v>21</v>
      </c>
      <c r="BX712" s="5" t="s">
        <v>2141</v>
      </c>
    </row>
    <row r="713" spans="1:76" x14ac:dyDescent="0.25">
      <c r="A713" s="2" t="s">
        <v>2142</v>
      </c>
      <c r="B713" s="3" t="s">
        <v>2143</v>
      </c>
      <c r="C713" s="93" t="s">
        <v>2144</v>
      </c>
      <c r="D713" s="94"/>
      <c r="E713" s="3" t="s">
        <v>52</v>
      </c>
      <c r="F713" s="25">
        <v>1</v>
      </c>
      <c r="G713" s="25">
        <v>0</v>
      </c>
      <c r="H713" s="25">
        <f t="shared" si="694"/>
        <v>0</v>
      </c>
      <c r="I713" s="25">
        <f t="shared" si="695"/>
        <v>0</v>
      </c>
      <c r="J713" s="25">
        <f t="shared" si="696"/>
        <v>0</v>
      </c>
      <c r="K713" s="26" t="s">
        <v>53</v>
      </c>
      <c r="Z713" s="25">
        <f t="shared" si="697"/>
        <v>0</v>
      </c>
      <c r="AB713" s="25">
        <f t="shared" si="698"/>
        <v>0</v>
      </c>
      <c r="AC713" s="25">
        <f t="shared" si="699"/>
        <v>0</v>
      </c>
      <c r="AD713" s="25">
        <f t="shared" si="700"/>
        <v>0</v>
      </c>
      <c r="AE713" s="25">
        <f t="shared" si="701"/>
        <v>0</v>
      </c>
      <c r="AF713" s="25">
        <f t="shared" si="702"/>
        <v>0</v>
      </c>
      <c r="AG713" s="25">
        <f t="shared" si="703"/>
        <v>0</v>
      </c>
      <c r="AH713" s="25">
        <f t="shared" si="704"/>
        <v>0</v>
      </c>
      <c r="AI713" s="11" t="s">
        <v>46</v>
      </c>
      <c r="AJ713" s="25">
        <f t="shared" si="705"/>
        <v>0</v>
      </c>
      <c r="AK713" s="25">
        <f t="shared" si="706"/>
        <v>0</v>
      </c>
      <c r="AL713" s="25">
        <f t="shared" si="707"/>
        <v>0</v>
      </c>
      <c r="AN713" s="25">
        <v>21</v>
      </c>
      <c r="AO713" s="25">
        <f>G713*0.57000205</f>
        <v>0</v>
      </c>
      <c r="AP713" s="25">
        <f>G713*(1-0.57000205)</f>
        <v>0</v>
      </c>
      <c r="AQ713" s="27" t="s">
        <v>58</v>
      </c>
      <c r="AV713" s="25">
        <f t="shared" si="708"/>
        <v>0</v>
      </c>
      <c r="AW713" s="25">
        <f t="shared" si="709"/>
        <v>0</v>
      </c>
      <c r="AX713" s="25">
        <f t="shared" si="710"/>
        <v>0</v>
      </c>
      <c r="AY713" s="27" t="s">
        <v>2129</v>
      </c>
      <c r="AZ713" s="27" t="s">
        <v>305</v>
      </c>
      <c r="BA713" s="11" t="s">
        <v>56</v>
      </c>
      <c r="BC713" s="25">
        <f t="shared" si="711"/>
        <v>0</v>
      </c>
      <c r="BD713" s="25">
        <f t="shared" si="712"/>
        <v>0</v>
      </c>
      <c r="BE713" s="25">
        <v>0</v>
      </c>
      <c r="BF713" s="25">
        <f>713</f>
        <v>713</v>
      </c>
      <c r="BH713" s="25">
        <f t="shared" si="713"/>
        <v>0</v>
      </c>
      <c r="BI713" s="25">
        <f t="shared" si="714"/>
        <v>0</v>
      </c>
      <c r="BJ713" s="25">
        <f t="shared" si="715"/>
        <v>0</v>
      </c>
      <c r="BK713" s="27" t="s">
        <v>57</v>
      </c>
      <c r="BL713" s="25"/>
      <c r="BW713" s="25">
        <v>21</v>
      </c>
      <c r="BX713" s="5" t="s">
        <v>2144</v>
      </c>
    </row>
    <row r="714" spans="1:76" ht="25.5" x14ac:dyDescent="0.25">
      <c r="A714" s="2" t="s">
        <v>2145</v>
      </c>
      <c r="B714" s="3" t="s">
        <v>2146</v>
      </c>
      <c r="C714" s="93" t="s">
        <v>2147</v>
      </c>
      <c r="D714" s="94"/>
      <c r="E714" s="3" t="s">
        <v>52</v>
      </c>
      <c r="F714" s="25">
        <v>2</v>
      </c>
      <c r="G714" s="25">
        <v>0</v>
      </c>
      <c r="H714" s="25">
        <f t="shared" si="694"/>
        <v>0</v>
      </c>
      <c r="I714" s="25">
        <f t="shared" si="695"/>
        <v>0</v>
      </c>
      <c r="J714" s="25">
        <f t="shared" si="696"/>
        <v>0</v>
      </c>
      <c r="K714" s="26" t="s">
        <v>53</v>
      </c>
      <c r="Z714" s="25">
        <f t="shared" si="697"/>
        <v>0</v>
      </c>
      <c r="AB714" s="25">
        <f t="shared" si="698"/>
        <v>0</v>
      </c>
      <c r="AC714" s="25">
        <f t="shared" si="699"/>
        <v>0</v>
      </c>
      <c r="AD714" s="25">
        <f t="shared" si="700"/>
        <v>0</v>
      </c>
      <c r="AE714" s="25">
        <f t="shared" si="701"/>
        <v>0</v>
      </c>
      <c r="AF714" s="25">
        <f t="shared" si="702"/>
        <v>0</v>
      </c>
      <c r="AG714" s="25">
        <f t="shared" si="703"/>
        <v>0</v>
      </c>
      <c r="AH714" s="25">
        <f t="shared" si="704"/>
        <v>0</v>
      </c>
      <c r="AI714" s="11" t="s">
        <v>46</v>
      </c>
      <c r="AJ714" s="25">
        <f t="shared" si="705"/>
        <v>0</v>
      </c>
      <c r="AK714" s="25">
        <f t="shared" si="706"/>
        <v>0</v>
      </c>
      <c r="AL714" s="25">
        <f t="shared" si="707"/>
        <v>0</v>
      </c>
      <c r="AN714" s="25">
        <v>21</v>
      </c>
      <c r="AO714" s="25">
        <f t="shared" ref="AO714:AO719" si="716">G714*0.57</f>
        <v>0</v>
      </c>
      <c r="AP714" s="25">
        <f t="shared" ref="AP714:AP719" si="717">G714*(1-0.57)</f>
        <v>0</v>
      </c>
      <c r="AQ714" s="27" t="s">
        <v>58</v>
      </c>
      <c r="AV714" s="25">
        <f t="shared" si="708"/>
        <v>0</v>
      </c>
      <c r="AW714" s="25">
        <f t="shared" si="709"/>
        <v>0</v>
      </c>
      <c r="AX714" s="25">
        <f t="shared" si="710"/>
        <v>0</v>
      </c>
      <c r="AY714" s="27" t="s">
        <v>2129</v>
      </c>
      <c r="AZ714" s="27" t="s">
        <v>305</v>
      </c>
      <c r="BA714" s="11" t="s">
        <v>56</v>
      </c>
      <c r="BC714" s="25">
        <f t="shared" si="711"/>
        <v>0</v>
      </c>
      <c r="BD714" s="25">
        <f t="shared" si="712"/>
        <v>0</v>
      </c>
      <c r="BE714" s="25">
        <v>0</v>
      </c>
      <c r="BF714" s="25">
        <f>714</f>
        <v>714</v>
      </c>
      <c r="BH714" s="25">
        <f t="shared" si="713"/>
        <v>0</v>
      </c>
      <c r="BI714" s="25">
        <f t="shared" si="714"/>
        <v>0</v>
      </c>
      <c r="BJ714" s="25">
        <f t="shared" si="715"/>
        <v>0</v>
      </c>
      <c r="BK714" s="27" t="s">
        <v>57</v>
      </c>
      <c r="BL714" s="25"/>
      <c r="BW714" s="25">
        <v>21</v>
      </c>
      <c r="BX714" s="5" t="s">
        <v>2147</v>
      </c>
    </row>
    <row r="715" spans="1:76" x14ac:dyDescent="0.25">
      <c r="A715" s="2" t="s">
        <v>2148</v>
      </c>
      <c r="B715" s="3" t="s">
        <v>2149</v>
      </c>
      <c r="C715" s="93" t="s">
        <v>2150</v>
      </c>
      <c r="D715" s="94"/>
      <c r="E715" s="3" t="s">
        <v>52</v>
      </c>
      <c r="F715" s="25">
        <v>24</v>
      </c>
      <c r="G715" s="25">
        <v>0</v>
      </c>
      <c r="H715" s="25">
        <f t="shared" si="694"/>
        <v>0</v>
      </c>
      <c r="I715" s="25">
        <f t="shared" si="695"/>
        <v>0</v>
      </c>
      <c r="J715" s="25">
        <f t="shared" si="696"/>
        <v>0</v>
      </c>
      <c r="K715" s="26" t="s">
        <v>53</v>
      </c>
      <c r="Z715" s="25">
        <f t="shared" si="697"/>
        <v>0</v>
      </c>
      <c r="AB715" s="25">
        <f t="shared" si="698"/>
        <v>0</v>
      </c>
      <c r="AC715" s="25">
        <f t="shared" si="699"/>
        <v>0</v>
      </c>
      <c r="AD715" s="25">
        <f t="shared" si="700"/>
        <v>0</v>
      </c>
      <c r="AE715" s="25">
        <f t="shared" si="701"/>
        <v>0</v>
      </c>
      <c r="AF715" s="25">
        <f t="shared" si="702"/>
        <v>0</v>
      </c>
      <c r="AG715" s="25">
        <f t="shared" si="703"/>
        <v>0</v>
      </c>
      <c r="AH715" s="25">
        <f t="shared" si="704"/>
        <v>0</v>
      </c>
      <c r="AI715" s="11" t="s">
        <v>46</v>
      </c>
      <c r="AJ715" s="25">
        <f t="shared" si="705"/>
        <v>0</v>
      </c>
      <c r="AK715" s="25">
        <f t="shared" si="706"/>
        <v>0</v>
      </c>
      <c r="AL715" s="25">
        <f t="shared" si="707"/>
        <v>0</v>
      </c>
      <c r="AN715" s="25">
        <v>21</v>
      </c>
      <c r="AO715" s="25">
        <f t="shared" si="716"/>
        <v>0</v>
      </c>
      <c r="AP715" s="25">
        <f t="shared" si="717"/>
        <v>0</v>
      </c>
      <c r="AQ715" s="27" t="s">
        <v>58</v>
      </c>
      <c r="AV715" s="25">
        <f t="shared" si="708"/>
        <v>0</v>
      </c>
      <c r="AW715" s="25">
        <f t="shared" si="709"/>
        <v>0</v>
      </c>
      <c r="AX715" s="25">
        <f t="shared" si="710"/>
        <v>0</v>
      </c>
      <c r="AY715" s="27" t="s">
        <v>2129</v>
      </c>
      <c r="AZ715" s="27" t="s">
        <v>305</v>
      </c>
      <c r="BA715" s="11" t="s">
        <v>56</v>
      </c>
      <c r="BC715" s="25">
        <f t="shared" si="711"/>
        <v>0</v>
      </c>
      <c r="BD715" s="25">
        <f t="shared" si="712"/>
        <v>0</v>
      </c>
      <c r="BE715" s="25">
        <v>0</v>
      </c>
      <c r="BF715" s="25">
        <f>715</f>
        <v>715</v>
      </c>
      <c r="BH715" s="25">
        <f t="shared" si="713"/>
        <v>0</v>
      </c>
      <c r="BI715" s="25">
        <f t="shared" si="714"/>
        <v>0</v>
      </c>
      <c r="BJ715" s="25">
        <f t="shared" si="715"/>
        <v>0</v>
      </c>
      <c r="BK715" s="27" t="s">
        <v>57</v>
      </c>
      <c r="BL715" s="25"/>
      <c r="BW715" s="25">
        <v>21</v>
      </c>
      <c r="BX715" s="5" t="s">
        <v>2150</v>
      </c>
    </row>
    <row r="716" spans="1:76" x14ac:dyDescent="0.25">
      <c r="A716" s="2" t="s">
        <v>2151</v>
      </c>
      <c r="B716" s="3" t="s">
        <v>2152</v>
      </c>
      <c r="C716" s="93" t="s">
        <v>2153</v>
      </c>
      <c r="D716" s="94"/>
      <c r="E716" s="3" t="s">
        <v>52</v>
      </c>
      <c r="F716" s="25">
        <v>2</v>
      </c>
      <c r="G716" s="25">
        <v>0</v>
      </c>
      <c r="H716" s="25">
        <f t="shared" si="694"/>
        <v>0</v>
      </c>
      <c r="I716" s="25">
        <f t="shared" si="695"/>
        <v>0</v>
      </c>
      <c r="J716" s="25">
        <f t="shared" si="696"/>
        <v>0</v>
      </c>
      <c r="K716" s="26" t="s">
        <v>53</v>
      </c>
      <c r="Z716" s="25">
        <f t="shared" si="697"/>
        <v>0</v>
      </c>
      <c r="AB716" s="25">
        <f t="shared" si="698"/>
        <v>0</v>
      </c>
      <c r="AC716" s="25">
        <f t="shared" si="699"/>
        <v>0</v>
      </c>
      <c r="AD716" s="25">
        <f t="shared" si="700"/>
        <v>0</v>
      </c>
      <c r="AE716" s="25">
        <f t="shared" si="701"/>
        <v>0</v>
      </c>
      <c r="AF716" s="25">
        <f t="shared" si="702"/>
        <v>0</v>
      </c>
      <c r="AG716" s="25">
        <f t="shared" si="703"/>
        <v>0</v>
      </c>
      <c r="AH716" s="25">
        <f t="shared" si="704"/>
        <v>0</v>
      </c>
      <c r="AI716" s="11" t="s">
        <v>46</v>
      </c>
      <c r="AJ716" s="25">
        <f t="shared" si="705"/>
        <v>0</v>
      </c>
      <c r="AK716" s="25">
        <f t="shared" si="706"/>
        <v>0</v>
      </c>
      <c r="AL716" s="25">
        <f t="shared" si="707"/>
        <v>0</v>
      </c>
      <c r="AN716" s="25">
        <v>21</v>
      </c>
      <c r="AO716" s="25">
        <f t="shared" si="716"/>
        <v>0</v>
      </c>
      <c r="AP716" s="25">
        <f t="shared" si="717"/>
        <v>0</v>
      </c>
      <c r="AQ716" s="27" t="s">
        <v>58</v>
      </c>
      <c r="AV716" s="25">
        <f t="shared" si="708"/>
        <v>0</v>
      </c>
      <c r="AW716" s="25">
        <f t="shared" si="709"/>
        <v>0</v>
      </c>
      <c r="AX716" s="25">
        <f t="shared" si="710"/>
        <v>0</v>
      </c>
      <c r="AY716" s="27" t="s">
        <v>2129</v>
      </c>
      <c r="AZ716" s="27" t="s">
        <v>305</v>
      </c>
      <c r="BA716" s="11" t="s">
        <v>56</v>
      </c>
      <c r="BC716" s="25">
        <f t="shared" si="711"/>
        <v>0</v>
      </c>
      <c r="BD716" s="25">
        <f t="shared" si="712"/>
        <v>0</v>
      </c>
      <c r="BE716" s="25">
        <v>0</v>
      </c>
      <c r="BF716" s="25">
        <f>716</f>
        <v>716</v>
      </c>
      <c r="BH716" s="25">
        <f t="shared" si="713"/>
        <v>0</v>
      </c>
      <c r="BI716" s="25">
        <f t="shared" si="714"/>
        <v>0</v>
      </c>
      <c r="BJ716" s="25">
        <f t="shared" si="715"/>
        <v>0</v>
      </c>
      <c r="BK716" s="27" t="s">
        <v>57</v>
      </c>
      <c r="BL716" s="25"/>
      <c r="BW716" s="25">
        <v>21</v>
      </c>
      <c r="BX716" s="5" t="s">
        <v>2153</v>
      </c>
    </row>
    <row r="717" spans="1:76" x14ac:dyDescent="0.25">
      <c r="A717" s="2" t="s">
        <v>2154</v>
      </c>
      <c r="B717" s="3" t="s">
        <v>2155</v>
      </c>
      <c r="C717" s="93" t="s">
        <v>2156</v>
      </c>
      <c r="D717" s="94"/>
      <c r="E717" s="3" t="s">
        <v>52</v>
      </c>
      <c r="F717" s="25">
        <v>2</v>
      </c>
      <c r="G717" s="25">
        <v>0</v>
      </c>
      <c r="H717" s="25">
        <f t="shared" si="694"/>
        <v>0</v>
      </c>
      <c r="I717" s="25">
        <f t="shared" si="695"/>
        <v>0</v>
      </c>
      <c r="J717" s="25">
        <f t="shared" si="696"/>
        <v>0</v>
      </c>
      <c r="K717" s="26" t="s">
        <v>53</v>
      </c>
      <c r="Z717" s="25">
        <f t="shared" si="697"/>
        <v>0</v>
      </c>
      <c r="AB717" s="25">
        <f t="shared" si="698"/>
        <v>0</v>
      </c>
      <c r="AC717" s="25">
        <f t="shared" si="699"/>
        <v>0</v>
      </c>
      <c r="AD717" s="25">
        <f t="shared" si="700"/>
        <v>0</v>
      </c>
      <c r="AE717" s="25">
        <f t="shared" si="701"/>
        <v>0</v>
      </c>
      <c r="AF717" s="25">
        <f t="shared" si="702"/>
        <v>0</v>
      </c>
      <c r="AG717" s="25">
        <f t="shared" si="703"/>
        <v>0</v>
      </c>
      <c r="AH717" s="25">
        <f t="shared" si="704"/>
        <v>0</v>
      </c>
      <c r="AI717" s="11" t="s">
        <v>46</v>
      </c>
      <c r="AJ717" s="25">
        <f t="shared" si="705"/>
        <v>0</v>
      </c>
      <c r="AK717" s="25">
        <f t="shared" si="706"/>
        <v>0</v>
      </c>
      <c r="AL717" s="25">
        <f t="shared" si="707"/>
        <v>0</v>
      </c>
      <c r="AN717" s="25">
        <v>21</v>
      </c>
      <c r="AO717" s="25">
        <f t="shared" si="716"/>
        <v>0</v>
      </c>
      <c r="AP717" s="25">
        <f t="shared" si="717"/>
        <v>0</v>
      </c>
      <c r="AQ717" s="27" t="s">
        <v>58</v>
      </c>
      <c r="AV717" s="25">
        <f t="shared" si="708"/>
        <v>0</v>
      </c>
      <c r="AW717" s="25">
        <f t="shared" si="709"/>
        <v>0</v>
      </c>
      <c r="AX717" s="25">
        <f t="shared" si="710"/>
        <v>0</v>
      </c>
      <c r="AY717" s="27" t="s">
        <v>2129</v>
      </c>
      <c r="AZ717" s="27" t="s">
        <v>305</v>
      </c>
      <c r="BA717" s="11" t="s">
        <v>56</v>
      </c>
      <c r="BC717" s="25">
        <f t="shared" si="711"/>
        <v>0</v>
      </c>
      <c r="BD717" s="25">
        <f t="shared" si="712"/>
        <v>0</v>
      </c>
      <c r="BE717" s="25">
        <v>0</v>
      </c>
      <c r="BF717" s="25">
        <f>717</f>
        <v>717</v>
      </c>
      <c r="BH717" s="25">
        <f t="shared" si="713"/>
        <v>0</v>
      </c>
      <c r="BI717" s="25">
        <f t="shared" si="714"/>
        <v>0</v>
      </c>
      <c r="BJ717" s="25">
        <f t="shared" si="715"/>
        <v>0</v>
      </c>
      <c r="BK717" s="27" t="s">
        <v>57</v>
      </c>
      <c r="BL717" s="25"/>
      <c r="BW717" s="25">
        <v>21</v>
      </c>
      <c r="BX717" s="5" t="s">
        <v>2156</v>
      </c>
    </row>
    <row r="718" spans="1:76" x14ac:dyDescent="0.25">
      <c r="A718" s="2" t="s">
        <v>2157</v>
      </c>
      <c r="B718" s="3" t="s">
        <v>2158</v>
      </c>
      <c r="C718" s="93" t="s">
        <v>2159</v>
      </c>
      <c r="D718" s="94"/>
      <c r="E718" s="3" t="s">
        <v>52</v>
      </c>
      <c r="F718" s="25">
        <v>2</v>
      </c>
      <c r="G718" s="25">
        <v>0</v>
      </c>
      <c r="H718" s="25">
        <f t="shared" si="694"/>
        <v>0</v>
      </c>
      <c r="I718" s="25">
        <f t="shared" si="695"/>
        <v>0</v>
      </c>
      <c r="J718" s="25">
        <f t="shared" si="696"/>
        <v>0</v>
      </c>
      <c r="K718" s="26" t="s">
        <v>53</v>
      </c>
      <c r="Z718" s="25">
        <f t="shared" si="697"/>
        <v>0</v>
      </c>
      <c r="AB718" s="25">
        <f t="shared" si="698"/>
        <v>0</v>
      </c>
      <c r="AC718" s="25">
        <f t="shared" si="699"/>
        <v>0</v>
      </c>
      <c r="AD718" s="25">
        <f t="shared" si="700"/>
        <v>0</v>
      </c>
      <c r="AE718" s="25">
        <f t="shared" si="701"/>
        <v>0</v>
      </c>
      <c r="AF718" s="25">
        <f t="shared" si="702"/>
        <v>0</v>
      </c>
      <c r="AG718" s="25">
        <f t="shared" si="703"/>
        <v>0</v>
      </c>
      <c r="AH718" s="25">
        <f t="shared" si="704"/>
        <v>0</v>
      </c>
      <c r="AI718" s="11" t="s">
        <v>46</v>
      </c>
      <c r="AJ718" s="25">
        <f t="shared" si="705"/>
        <v>0</v>
      </c>
      <c r="AK718" s="25">
        <f t="shared" si="706"/>
        <v>0</v>
      </c>
      <c r="AL718" s="25">
        <f t="shared" si="707"/>
        <v>0</v>
      </c>
      <c r="AN718" s="25">
        <v>21</v>
      </c>
      <c r="AO718" s="25">
        <f t="shared" si="716"/>
        <v>0</v>
      </c>
      <c r="AP718" s="25">
        <f t="shared" si="717"/>
        <v>0</v>
      </c>
      <c r="AQ718" s="27" t="s">
        <v>58</v>
      </c>
      <c r="AV718" s="25">
        <f t="shared" si="708"/>
        <v>0</v>
      </c>
      <c r="AW718" s="25">
        <f t="shared" si="709"/>
        <v>0</v>
      </c>
      <c r="AX718" s="25">
        <f t="shared" si="710"/>
        <v>0</v>
      </c>
      <c r="AY718" s="27" t="s">
        <v>2129</v>
      </c>
      <c r="AZ718" s="27" t="s">
        <v>305</v>
      </c>
      <c r="BA718" s="11" t="s">
        <v>56</v>
      </c>
      <c r="BC718" s="25">
        <f t="shared" si="711"/>
        <v>0</v>
      </c>
      <c r="BD718" s="25">
        <f t="shared" si="712"/>
        <v>0</v>
      </c>
      <c r="BE718" s="25">
        <v>0</v>
      </c>
      <c r="BF718" s="25">
        <f>718</f>
        <v>718</v>
      </c>
      <c r="BH718" s="25">
        <f t="shared" si="713"/>
        <v>0</v>
      </c>
      <c r="BI718" s="25">
        <f t="shared" si="714"/>
        <v>0</v>
      </c>
      <c r="BJ718" s="25">
        <f t="shared" si="715"/>
        <v>0</v>
      </c>
      <c r="BK718" s="27" t="s">
        <v>57</v>
      </c>
      <c r="BL718" s="25"/>
      <c r="BW718" s="25">
        <v>21</v>
      </c>
      <c r="BX718" s="5" t="s">
        <v>2159</v>
      </c>
    </row>
    <row r="719" spans="1:76" x14ac:dyDescent="0.25">
      <c r="A719" s="2" t="s">
        <v>2160</v>
      </c>
      <c r="B719" s="3" t="s">
        <v>2161</v>
      </c>
      <c r="C719" s="93" t="s">
        <v>2162</v>
      </c>
      <c r="D719" s="94"/>
      <c r="E719" s="3" t="s">
        <v>52</v>
      </c>
      <c r="F719" s="25">
        <v>94</v>
      </c>
      <c r="G719" s="25">
        <v>0</v>
      </c>
      <c r="H719" s="25">
        <f t="shared" si="694"/>
        <v>0</v>
      </c>
      <c r="I719" s="25">
        <f t="shared" si="695"/>
        <v>0</v>
      </c>
      <c r="J719" s="25">
        <f t="shared" si="696"/>
        <v>0</v>
      </c>
      <c r="K719" s="26" t="s">
        <v>53</v>
      </c>
      <c r="Z719" s="25">
        <f t="shared" si="697"/>
        <v>0</v>
      </c>
      <c r="AB719" s="25">
        <f t="shared" si="698"/>
        <v>0</v>
      </c>
      <c r="AC719" s="25">
        <f t="shared" si="699"/>
        <v>0</v>
      </c>
      <c r="AD719" s="25">
        <f t="shared" si="700"/>
        <v>0</v>
      </c>
      <c r="AE719" s="25">
        <f t="shared" si="701"/>
        <v>0</v>
      </c>
      <c r="AF719" s="25">
        <f t="shared" si="702"/>
        <v>0</v>
      </c>
      <c r="AG719" s="25">
        <f t="shared" si="703"/>
        <v>0</v>
      </c>
      <c r="AH719" s="25">
        <f t="shared" si="704"/>
        <v>0</v>
      </c>
      <c r="AI719" s="11" t="s">
        <v>46</v>
      </c>
      <c r="AJ719" s="25">
        <f t="shared" si="705"/>
        <v>0</v>
      </c>
      <c r="AK719" s="25">
        <f t="shared" si="706"/>
        <v>0</v>
      </c>
      <c r="AL719" s="25">
        <f t="shared" si="707"/>
        <v>0</v>
      </c>
      <c r="AN719" s="25">
        <v>21</v>
      </c>
      <c r="AO719" s="25">
        <f t="shared" si="716"/>
        <v>0</v>
      </c>
      <c r="AP719" s="25">
        <f t="shared" si="717"/>
        <v>0</v>
      </c>
      <c r="AQ719" s="27" t="s">
        <v>58</v>
      </c>
      <c r="AV719" s="25">
        <f t="shared" si="708"/>
        <v>0</v>
      </c>
      <c r="AW719" s="25">
        <f t="shared" si="709"/>
        <v>0</v>
      </c>
      <c r="AX719" s="25">
        <f t="shared" si="710"/>
        <v>0</v>
      </c>
      <c r="AY719" s="27" t="s">
        <v>2129</v>
      </c>
      <c r="AZ719" s="27" t="s">
        <v>305</v>
      </c>
      <c r="BA719" s="11" t="s">
        <v>56</v>
      </c>
      <c r="BC719" s="25">
        <f t="shared" si="711"/>
        <v>0</v>
      </c>
      <c r="BD719" s="25">
        <f t="shared" si="712"/>
        <v>0</v>
      </c>
      <c r="BE719" s="25">
        <v>0</v>
      </c>
      <c r="BF719" s="25">
        <f>719</f>
        <v>719</v>
      </c>
      <c r="BH719" s="25">
        <f t="shared" si="713"/>
        <v>0</v>
      </c>
      <c r="BI719" s="25">
        <f t="shared" si="714"/>
        <v>0</v>
      </c>
      <c r="BJ719" s="25">
        <f t="shared" si="715"/>
        <v>0</v>
      </c>
      <c r="BK719" s="27" t="s">
        <v>57</v>
      </c>
      <c r="BL719" s="25"/>
      <c r="BW719" s="25">
        <v>21</v>
      </c>
      <c r="BX719" s="5" t="s">
        <v>2162</v>
      </c>
    </row>
    <row r="720" spans="1:76" x14ac:dyDescent="0.25">
      <c r="A720" s="2" t="s">
        <v>2163</v>
      </c>
      <c r="B720" s="3" t="s">
        <v>2164</v>
      </c>
      <c r="C720" s="93" t="s">
        <v>2165</v>
      </c>
      <c r="D720" s="94"/>
      <c r="E720" s="3" t="s">
        <v>52</v>
      </c>
      <c r="F720" s="25">
        <v>74</v>
      </c>
      <c r="G720" s="25">
        <v>0</v>
      </c>
      <c r="H720" s="25">
        <f t="shared" si="694"/>
        <v>0</v>
      </c>
      <c r="I720" s="25">
        <f t="shared" si="695"/>
        <v>0</v>
      </c>
      <c r="J720" s="25">
        <f t="shared" si="696"/>
        <v>0</v>
      </c>
      <c r="K720" s="26" t="s">
        <v>53</v>
      </c>
      <c r="Z720" s="25">
        <f t="shared" si="697"/>
        <v>0</v>
      </c>
      <c r="AB720" s="25">
        <f t="shared" si="698"/>
        <v>0</v>
      </c>
      <c r="AC720" s="25">
        <f t="shared" si="699"/>
        <v>0</v>
      </c>
      <c r="AD720" s="25">
        <f t="shared" si="700"/>
        <v>0</v>
      </c>
      <c r="AE720" s="25">
        <f t="shared" si="701"/>
        <v>0</v>
      </c>
      <c r="AF720" s="25">
        <f t="shared" si="702"/>
        <v>0</v>
      </c>
      <c r="AG720" s="25">
        <f t="shared" si="703"/>
        <v>0</v>
      </c>
      <c r="AH720" s="25">
        <f t="shared" si="704"/>
        <v>0</v>
      </c>
      <c r="AI720" s="11" t="s">
        <v>46</v>
      </c>
      <c r="AJ720" s="25">
        <f t="shared" si="705"/>
        <v>0</v>
      </c>
      <c r="AK720" s="25">
        <f t="shared" si="706"/>
        <v>0</v>
      </c>
      <c r="AL720" s="25">
        <f t="shared" si="707"/>
        <v>0</v>
      </c>
      <c r="AN720" s="25">
        <v>21</v>
      </c>
      <c r="AO720" s="25">
        <f>G720*0.57000012</f>
        <v>0</v>
      </c>
      <c r="AP720" s="25">
        <f>G720*(1-0.57000012)</f>
        <v>0</v>
      </c>
      <c r="AQ720" s="27" t="s">
        <v>58</v>
      </c>
      <c r="AV720" s="25">
        <f t="shared" si="708"/>
        <v>0</v>
      </c>
      <c r="AW720" s="25">
        <f t="shared" si="709"/>
        <v>0</v>
      </c>
      <c r="AX720" s="25">
        <f t="shared" si="710"/>
        <v>0</v>
      </c>
      <c r="AY720" s="27" t="s">
        <v>2129</v>
      </c>
      <c r="AZ720" s="27" t="s">
        <v>305</v>
      </c>
      <c r="BA720" s="11" t="s">
        <v>56</v>
      </c>
      <c r="BC720" s="25">
        <f t="shared" si="711"/>
        <v>0</v>
      </c>
      <c r="BD720" s="25">
        <f t="shared" si="712"/>
        <v>0</v>
      </c>
      <c r="BE720" s="25">
        <v>0</v>
      </c>
      <c r="BF720" s="25">
        <f>720</f>
        <v>720</v>
      </c>
      <c r="BH720" s="25">
        <f t="shared" si="713"/>
        <v>0</v>
      </c>
      <c r="BI720" s="25">
        <f t="shared" si="714"/>
        <v>0</v>
      </c>
      <c r="BJ720" s="25">
        <f t="shared" si="715"/>
        <v>0</v>
      </c>
      <c r="BK720" s="27" t="s">
        <v>57</v>
      </c>
      <c r="BL720" s="25"/>
      <c r="BW720" s="25">
        <v>21</v>
      </c>
      <c r="BX720" s="5" t="s">
        <v>2165</v>
      </c>
    </row>
    <row r="721" spans="1:76" x14ac:dyDescent="0.25">
      <c r="A721" s="2" t="s">
        <v>2166</v>
      </c>
      <c r="B721" s="3" t="s">
        <v>2167</v>
      </c>
      <c r="C721" s="93" t="s">
        <v>2168</v>
      </c>
      <c r="D721" s="94"/>
      <c r="E721" s="3" t="s">
        <v>131</v>
      </c>
      <c r="F721" s="25">
        <v>16750</v>
      </c>
      <c r="G721" s="25">
        <v>0</v>
      </c>
      <c r="H721" s="25">
        <f t="shared" si="694"/>
        <v>0</v>
      </c>
      <c r="I721" s="25">
        <f t="shared" si="695"/>
        <v>0</v>
      </c>
      <c r="J721" s="25">
        <f t="shared" si="696"/>
        <v>0</v>
      </c>
      <c r="K721" s="26" t="s">
        <v>53</v>
      </c>
      <c r="Z721" s="25">
        <f t="shared" si="697"/>
        <v>0</v>
      </c>
      <c r="AB721" s="25">
        <f t="shared" si="698"/>
        <v>0</v>
      </c>
      <c r="AC721" s="25">
        <f t="shared" si="699"/>
        <v>0</v>
      </c>
      <c r="AD721" s="25">
        <f t="shared" si="700"/>
        <v>0</v>
      </c>
      <c r="AE721" s="25">
        <f t="shared" si="701"/>
        <v>0</v>
      </c>
      <c r="AF721" s="25">
        <f t="shared" si="702"/>
        <v>0</v>
      </c>
      <c r="AG721" s="25">
        <f t="shared" si="703"/>
        <v>0</v>
      </c>
      <c r="AH721" s="25">
        <f t="shared" si="704"/>
        <v>0</v>
      </c>
      <c r="AI721" s="11" t="s">
        <v>46</v>
      </c>
      <c r="AJ721" s="25">
        <f t="shared" si="705"/>
        <v>0</v>
      </c>
      <c r="AK721" s="25">
        <f t="shared" si="706"/>
        <v>0</v>
      </c>
      <c r="AL721" s="25">
        <f t="shared" si="707"/>
        <v>0</v>
      </c>
      <c r="AN721" s="25">
        <v>21</v>
      </c>
      <c r="AO721" s="25">
        <f>G721*0.57</f>
        <v>0</v>
      </c>
      <c r="AP721" s="25">
        <f>G721*(1-0.57)</f>
        <v>0</v>
      </c>
      <c r="AQ721" s="27" t="s">
        <v>58</v>
      </c>
      <c r="AV721" s="25">
        <f t="shared" si="708"/>
        <v>0</v>
      </c>
      <c r="AW721" s="25">
        <f t="shared" si="709"/>
        <v>0</v>
      </c>
      <c r="AX721" s="25">
        <f t="shared" si="710"/>
        <v>0</v>
      </c>
      <c r="AY721" s="27" t="s">
        <v>2129</v>
      </c>
      <c r="AZ721" s="27" t="s">
        <v>305</v>
      </c>
      <c r="BA721" s="11" t="s">
        <v>56</v>
      </c>
      <c r="BC721" s="25">
        <f t="shared" si="711"/>
        <v>0</v>
      </c>
      <c r="BD721" s="25">
        <f t="shared" si="712"/>
        <v>0</v>
      </c>
      <c r="BE721" s="25">
        <v>0</v>
      </c>
      <c r="BF721" s="25">
        <f>721</f>
        <v>721</v>
      </c>
      <c r="BH721" s="25">
        <f t="shared" si="713"/>
        <v>0</v>
      </c>
      <c r="BI721" s="25">
        <f t="shared" si="714"/>
        <v>0</v>
      </c>
      <c r="BJ721" s="25">
        <f t="shared" si="715"/>
        <v>0</v>
      </c>
      <c r="BK721" s="27" t="s">
        <v>57</v>
      </c>
      <c r="BL721" s="25"/>
      <c r="BW721" s="25">
        <v>21</v>
      </c>
      <c r="BX721" s="5" t="s">
        <v>2168</v>
      </c>
    </row>
    <row r="722" spans="1:76" x14ac:dyDescent="0.25">
      <c r="A722" s="2" t="s">
        <v>2169</v>
      </c>
      <c r="B722" s="3" t="s">
        <v>2170</v>
      </c>
      <c r="C722" s="93" t="s">
        <v>2171</v>
      </c>
      <c r="D722" s="94"/>
      <c r="E722" s="3" t="s">
        <v>131</v>
      </c>
      <c r="F722" s="25">
        <v>150</v>
      </c>
      <c r="G722" s="25">
        <v>0</v>
      </c>
      <c r="H722" s="25">
        <f t="shared" si="694"/>
        <v>0</v>
      </c>
      <c r="I722" s="25">
        <f t="shared" si="695"/>
        <v>0</v>
      </c>
      <c r="J722" s="25">
        <f t="shared" si="696"/>
        <v>0</v>
      </c>
      <c r="K722" s="26" t="s">
        <v>53</v>
      </c>
      <c r="Z722" s="25">
        <f t="shared" si="697"/>
        <v>0</v>
      </c>
      <c r="AB722" s="25">
        <f t="shared" si="698"/>
        <v>0</v>
      </c>
      <c r="AC722" s="25">
        <f t="shared" si="699"/>
        <v>0</v>
      </c>
      <c r="AD722" s="25">
        <f t="shared" si="700"/>
        <v>0</v>
      </c>
      <c r="AE722" s="25">
        <f t="shared" si="701"/>
        <v>0</v>
      </c>
      <c r="AF722" s="25">
        <f t="shared" si="702"/>
        <v>0</v>
      </c>
      <c r="AG722" s="25">
        <f t="shared" si="703"/>
        <v>0</v>
      </c>
      <c r="AH722" s="25">
        <f t="shared" si="704"/>
        <v>0</v>
      </c>
      <c r="AI722" s="11" t="s">
        <v>46</v>
      </c>
      <c r="AJ722" s="25">
        <f t="shared" si="705"/>
        <v>0</v>
      </c>
      <c r="AK722" s="25">
        <f t="shared" si="706"/>
        <v>0</v>
      </c>
      <c r="AL722" s="25">
        <f t="shared" si="707"/>
        <v>0</v>
      </c>
      <c r="AN722" s="25">
        <v>21</v>
      </c>
      <c r="AO722" s="25">
        <f>G722*0.569995871</f>
        <v>0</v>
      </c>
      <c r="AP722" s="25">
        <f>G722*(1-0.569995871)</f>
        <v>0</v>
      </c>
      <c r="AQ722" s="27" t="s">
        <v>58</v>
      </c>
      <c r="AV722" s="25">
        <f t="shared" si="708"/>
        <v>0</v>
      </c>
      <c r="AW722" s="25">
        <f t="shared" si="709"/>
        <v>0</v>
      </c>
      <c r="AX722" s="25">
        <f t="shared" si="710"/>
        <v>0</v>
      </c>
      <c r="AY722" s="27" t="s">
        <v>2129</v>
      </c>
      <c r="AZ722" s="27" t="s">
        <v>305</v>
      </c>
      <c r="BA722" s="11" t="s">
        <v>56</v>
      </c>
      <c r="BC722" s="25">
        <f t="shared" si="711"/>
        <v>0</v>
      </c>
      <c r="BD722" s="25">
        <f t="shared" si="712"/>
        <v>0</v>
      </c>
      <c r="BE722" s="25">
        <v>0</v>
      </c>
      <c r="BF722" s="25">
        <f>722</f>
        <v>722</v>
      </c>
      <c r="BH722" s="25">
        <f t="shared" si="713"/>
        <v>0</v>
      </c>
      <c r="BI722" s="25">
        <f t="shared" si="714"/>
        <v>0</v>
      </c>
      <c r="BJ722" s="25">
        <f t="shared" si="715"/>
        <v>0</v>
      </c>
      <c r="BK722" s="27" t="s">
        <v>57</v>
      </c>
      <c r="BL722" s="25"/>
      <c r="BW722" s="25">
        <v>21</v>
      </c>
      <c r="BX722" s="5" t="s">
        <v>2171</v>
      </c>
    </row>
    <row r="723" spans="1:76" x14ac:dyDescent="0.25">
      <c r="A723" s="2" t="s">
        <v>2172</v>
      </c>
      <c r="B723" s="3" t="s">
        <v>2173</v>
      </c>
      <c r="C723" s="93" t="s">
        <v>2174</v>
      </c>
      <c r="D723" s="94"/>
      <c r="E723" s="3" t="s">
        <v>131</v>
      </c>
      <c r="F723" s="25">
        <v>50</v>
      </c>
      <c r="G723" s="25">
        <v>0</v>
      </c>
      <c r="H723" s="25">
        <f t="shared" si="694"/>
        <v>0</v>
      </c>
      <c r="I723" s="25">
        <f t="shared" si="695"/>
        <v>0</v>
      </c>
      <c r="J723" s="25">
        <f t="shared" si="696"/>
        <v>0</v>
      </c>
      <c r="K723" s="26" t="s">
        <v>53</v>
      </c>
      <c r="Z723" s="25">
        <f t="shared" si="697"/>
        <v>0</v>
      </c>
      <c r="AB723" s="25">
        <f t="shared" si="698"/>
        <v>0</v>
      </c>
      <c r="AC723" s="25">
        <f t="shared" si="699"/>
        <v>0</v>
      </c>
      <c r="AD723" s="25">
        <f t="shared" si="700"/>
        <v>0</v>
      </c>
      <c r="AE723" s="25">
        <f t="shared" si="701"/>
        <v>0</v>
      </c>
      <c r="AF723" s="25">
        <f t="shared" si="702"/>
        <v>0</v>
      </c>
      <c r="AG723" s="25">
        <f t="shared" si="703"/>
        <v>0</v>
      </c>
      <c r="AH723" s="25">
        <f t="shared" si="704"/>
        <v>0</v>
      </c>
      <c r="AI723" s="11" t="s">
        <v>46</v>
      </c>
      <c r="AJ723" s="25">
        <f t="shared" si="705"/>
        <v>0</v>
      </c>
      <c r="AK723" s="25">
        <f t="shared" si="706"/>
        <v>0</v>
      </c>
      <c r="AL723" s="25">
        <f t="shared" si="707"/>
        <v>0</v>
      </c>
      <c r="AN723" s="25">
        <v>21</v>
      </c>
      <c r="AO723" s="25">
        <f>G723*0.57</f>
        <v>0</v>
      </c>
      <c r="AP723" s="25">
        <f>G723*(1-0.57)</f>
        <v>0</v>
      </c>
      <c r="AQ723" s="27" t="s">
        <v>58</v>
      </c>
      <c r="AV723" s="25">
        <f t="shared" si="708"/>
        <v>0</v>
      </c>
      <c r="AW723" s="25">
        <f t="shared" si="709"/>
        <v>0</v>
      </c>
      <c r="AX723" s="25">
        <f t="shared" si="710"/>
        <v>0</v>
      </c>
      <c r="AY723" s="27" t="s">
        <v>2129</v>
      </c>
      <c r="AZ723" s="27" t="s">
        <v>305</v>
      </c>
      <c r="BA723" s="11" t="s">
        <v>56</v>
      </c>
      <c r="BC723" s="25">
        <f t="shared" si="711"/>
        <v>0</v>
      </c>
      <c r="BD723" s="25">
        <f t="shared" si="712"/>
        <v>0</v>
      </c>
      <c r="BE723" s="25">
        <v>0</v>
      </c>
      <c r="BF723" s="25">
        <f>723</f>
        <v>723</v>
      </c>
      <c r="BH723" s="25">
        <f t="shared" si="713"/>
        <v>0</v>
      </c>
      <c r="BI723" s="25">
        <f t="shared" si="714"/>
        <v>0</v>
      </c>
      <c r="BJ723" s="25">
        <f t="shared" si="715"/>
        <v>0</v>
      </c>
      <c r="BK723" s="27" t="s">
        <v>57</v>
      </c>
      <c r="BL723" s="25"/>
      <c r="BW723" s="25">
        <v>21</v>
      </c>
      <c r="BX723" s="5" t="s">
        <v>2174</v>
      </c>
    </row>
    <row r="724" spans="1:76" x14ac:dyDescent="0.25">
      <c r="A724" s="2" t="s">
        <v>2175</v>
      </c>
      <c r="B724" s="3" t="s">
        <v>2176</v>
      </c>
      <c r="C724" s="93" t="s">
        <v>2177</v>
      </c>
      <c r="D724" s="94"/>
      <c r="E724" s="3" t="s">
        <v>131</v>
      </c>
      <c r="F724" s="25">
        <v>20</v>
      </c>
      <c r="G724" s="25">
        <v>0</v>
      </c>
      <c r="H724" s="25">
        <f t="shared" si="694"/>
        <v>0</v>
      </c>
      <c r="I724" s="25">
        <f t="shared" si="695"/>
        <v>0</v>
      </c>
      <c r="J724" s="25">
        <f t="shared" si="696"/>
        <v>0</v>
      </c>
      <c r="K724" s="26" t="s">
        <v>53</v>
      </c>
      <c r="Z724" s="25">
        <f t="shared" si="697"/>
        <v>0</v>
      </c>
      <c r="AB724" s="25">
        <f t="shared" si="698"/>
        <v>0</v>
      </c>
      <c r="AC724" s="25">
        <f t="shared" si="699"/>
        <v>0</v>
      </c>
      <c r="AD724" s="25">
        <f t="shared" si="700"/>
        <v>0</v>
      </c>
      <c r="AE724" s="25">
        <f t="shared" si="701"/>
        <v>0</v>
      </c>
      <c r="AF724" s="25">
        <f t="shared" si="702"/>
        <v>0</v>
      </c>
      <c r="AG724" s="25">
        <f t="shared" si="703"/>
        <v>0</v>
      </c>
      <c r="AH724" s="25">
        <f t="shared" si="704"/>
        <v>0</v>
      </c>
      <c r="AI724" s="11" t="s">
        <v>46</v>
      </c>
      <c r="AJ724" s="25">
        <f t="shared" si="705"/>
        <v>0</v>
      </c>
      <c r="AK724" s="25">
        <f t="shared" si="706"/>
        <v>0</v>
      </c>
      <c r="AL724" s="25">
        <f t="shared" si="707"/>
        <v>0</v>
      </c>
      <c r="AN724" s="25">
        <v>21</v>
      </c>
      <c r="AO724" s="25">
        <f>G724*0.569986024</f>
        <v>0</v>
      </c>
      <c r="AP724" s="25">
        <f>G724*(1-0.569986024)</f>
        <v>0</v>
      </c>
      <c r="AQ724" s="27" t="s">
        <v>58</v>
      </c>
      <c r="AV724" s="25">
        <f t="shared" si="708"/>
        <v>0</v>
      </c>
      <c r="AW724" s="25">
        <f t="shared" si="709"/>
        <v>0</v>
      </c>
      <c r="AX724" s="25">
        <f t="shared" si="710"/>
        <v>0</v>
      </c>
      <c r="AY724" s="27" t="s">
        <v>2129</v>
      </c>
      <c r="AZ724" s="27" t="s">
        <v>305</v>
      </c>
      <c r="BA724" s="11" t="s">
        <v>56</v>
      </c>
      <c r="BC724" s="25">
        <f t="shared" si="711"/>
        <v>0</v>
      </c>
      <c r="BD724" s="25">
        <f t="shared" si="712"/>
        <v>0</v>
      </c>
      <c r="BE724" s="25">
        <v>0</v>
      </c>
      <c r="BF724" s="25">
        <f>724</f>
        <v>724</v>
      </c>
      <c r="BH724" s="25">
        <f t="shared" si="713"/>
        <v>0</v>
      </c>
      <c r="BI724" s="25">
        <f t="shared" si="714"/>
        <v>0</v>
      </c>
      <c r="BJ724" s="25">
        <f t="shared" si="715"/>
        <v>0</v>
      </c>
      <c r="BK724" s="27" t="s">
        <v>57</v>
      </c>
      <c r="BL724" s="25"/>
      <c r="BW724" s="25">
        <v>21</v>
      </c>
      <c r="BX724" s="5" t="s">
        <v>2177</v>
      </c>
    </row>
    <row r="725" spans="1:76" x14ac:dyDescent="0.25">
      <c r="A725" s="2" t="s">
        <v>2178</v>
      </c>
      <c r="B725" s="3" t="s">
        <v>2179</v>
      </c>
      <c r="C725" s="93" t="s">
        <v>2180</v>
      </c>
      <c r="D725" s="94"/>
      <c r="E725" s="3" t="s">
        <v>131</v>
      </c>
      <c r="F725" s="25">
        <v>850</v>
      </c>
      <c r="G725" s="25">
        <v>0</v>
      </c>
      <c r="H725" s="25">
        <f t="shared" si="694"/>
        <v>0</v>
      </c>
      <c r="I725" s="25">
        <f t="shared" si="695"/>
        <v>0</v>
      </c>
      <c r="J725" s="25">
        <f t="shared" si="696"/>
        <v>0</v>
      </c>
      <c r="K725" s="26" t="s">
        <v>53</v>
      </c>
      <c r="Z725" s="25">
        <f t="shared" si="697"/>
        <v>0</v>
      </c>
      <c r="AB725" s="25">
        <f t="shared" si="698"/>
        <v>0</v>
      </c>
      <c r="AC725" s="25">
        <f t="shared" si="699"/>
        <v>0</v>
      </c>
      <c r="AD725" s="25">
        <f t="shared" si="700"/>
        <v>0</v>
      </c>
      <c r="AE725" s="25">
        <f t="shared" si="701"/>
        <v>0</v>
      </c>
      <c r="AF725" s="25">
        <f t="shared" si="702"/>
        <v>0</v>
      </c>
      <c r="AG725" s="25">
        <f t="shared" si="703"/>
        <v>0</v>
      </c>
      <c r="AH725" s="25">
        <f t="shared" si="704"/>
        <v>0</v>
      </c>
      <c r="AI725" s="11" t="s">
        <v>46</v>
      </c>
      <c r="AJ725" s="25">
        <f t="shared" si="705"/>
        <v>0</v>
      </c>
      <c r="AK725" s="25">
        <f t="shared" si="706"/>
        <v>0</v>
      </c>
      <c r="AL725" s="25">
        <f t="shared" si="707"/>
        <v>0</v>
      </c>
      <c r="AN725" s="25">
        <v>21</v>
      </c>
      <c r="AO725" s="25">
        <f>G725*0.56997754</f>
        <v>0</v>
      </c>
      <c r="AP725" s="25">
        <f>G725*(1-0.56997754)</f>
        <v>0</v>
      </c>
      <c r="AQ725" s="27" t="s">
        <v>58</v>
      </c>
      <c r="AV725" s="25">
        <f t="shared" si="708"/>
        <v>0</v>
      </c>
      <c r="AW725" s="25">
        <f t="shared" si="709"/>
        <v>0</v>
      </c>
      <c r="AX725" s="25">
        <f t="shared" si="710"/>
        <v>0</v>
      </c>
      <c r="AY725" s="27" t="s">
        <v>2129</v>
      </c>
      <c r="AZ725" s="27" t="s">
        <v>305</v>
      </c>
      <c r="BA725" s="11" t="s">
        <v>56</v>
      </c>
      <c r="BC725" s="25">
        <f t="shared" si="711"/>
        <v>0</v>
      </c>
      <c r="BD725" s="25">
        <f t="shared" si="712"/>
        <v>0</v>
      </c>
      <c r="BE725" s="25">
        <v>0</v>
      </c>
      <c r="BF725" s="25">
        <f>725</f>
        <v>725</v>
      </c>
      <c r="BH725" s="25">
        <f t="shared" si="713"/>
        <v>0</v>
      </c>
      <c r="BI725" s="25">
        <f t="shared" si="714"/>
        <v>0</v>
      </c>
      <c r="BJ725" s="25">
        <f t="shared" si="715"/>
        <v>0</v>
      </c>
      <c r="BK725" s="27" t="s">
        <v>57</v>
      </c>
      <c r="BL725" s="25"/>
      <c r="BW725" s="25">
        <v>21</v>
      </c>
      <c r="BX725" s="5" t="s">
        <v>2180</v>
      </c>
    </row>
    <row r="726" spans="1:76" x14ac:dyDescent="0.25">
      <c r="A726" s="2" t="s">
        <v>2181</v>
      </c>
      <c r="B726" s="3" t="s">
        <v>2182</v>
      </c>
      <c r="C726" s="93" t="s">
        <v>2183</v>
      </c>
      <c r="D726" s="94"/>
      <c r="E726" s="3" t="s">
        <v>131</v>
      </c>
      <c r="F726" s="25">
        <v>450</v>
      </c>
      <c r="G726" s="25">
        <v>0</v>
      </c>
      <c r="H726" s="25">
        <f t="shared" si="694"/>
        <v>0</v>
      </c>
      <c r="I726" s="25">
        <f t="shared" si="695"/>
        <v>0</v>
      </c>
      <c r="J726" s="25">
        <f t="shared" si="696"/>
        <v>0</v>
      </c>
      <c r="K726" s="26" t="s">
        <v>53</v>
      </c>
      <c r="Z726" s="25">
        <f t="shared" si="697"/>
        <v>0</v>
      </c>
      <c r="AB726" s="25">
        <f t="shared" si="698"/>
        <v>0</v>
      </c>
      <c r="AC726" s="25">
        <f t="shared" si="699"/>
        <v>0</v>
      </c>
      <c r="AD726" s="25">
        <f t="shared" si="700"/>
        <v>0</v>
      </c>
      <c r="AE726" s="25">
        <f t="shared" si="701"/>
        <v>0</v>
      </c>
      <c r="AF726" s="25">
        <f t="shared" si="702"/>
        <v>0</v>
      </c>
      <c r="AG726" s="25">
        <f t="shared" si="703"/>
        <v>0</v>
      </c>
      <c r="AH726" s="25">
        <f t="shared" si="704"/>
        <v>0</v>
      </c>
      <c r="AI726" s="11" t="s">
        <v>46</v>
      </c>
      <c r="AJ726" s="25">
        <f t="shared" si="705"/>
        <v>0</v>
      </c>
      <c r="AK726" s="25">
        <f t="shared" si="706"/>
        <v>0</v>
      </c>
      <c r="AL726" s="25">
        <f t="shared" si="707"/>
        <v>0</v>
      </c>
      <c r="AN726" s="25">
        <v>21</v>
      </c>
      <c r="AO726" s="25">
        <f>G726*0.570038928</f>
        <v>0</v>
      </c>
      <c r="AP726" s="25">
        <f>G726*(1-0.570038928)</f>
        <v>0</v>
      </c>
      <c r="AQ726" s="27" t="s">
        <v>58</v>
      </c>
      <c r="AV726" s="25">
        <f t="shared" si="708"/>
        <v>0</v>
      </c>
      <c r="AW726" s="25">
        <f t="shared" si="709"/>
        <v>0</v>
      </c>
      <c r="AX726" s="25">
        <f t="shared" si="710"/>
        <v>0</v>
      </c>
      <c r="AY726" s="27" t="s">
        <v>2129</v>
      </c>
      <c r="AZ726" s="27" t="s">
        <v>305</v>
      </c>
      <c r="BA726" s="11" t="s">
        <v>56</v>
      </c>
      <c r="BC726" s="25">
        <f t="shared" si="711"/>
        <v>0</v>
      </c>
      <c r="BD726" s="25">
        <f t="shared" si="712"/>
        <v>0</v>
      </c>
      <c r="BE726" s="25">
        <v>0</v>
      </c>
      <c r="BF726" s="25">
        <f>726</f>
        <v>726</v>
      </c>
      <c r="BH726" s="25">
        <f t="shared" si="713"/>
        <v>0</v>
      </c>
      <c r="BI726" s="25">
        <f t="shared" si="714"/>
        <v>0</v>
      </c>
      <c r="BJ726" s="25">
        <f t="shared" si="715"/>
        <v>0</v>
      </c>
      <c r="BK726" s="27" t="s">
        <v>57</v>
      </c>
      <c r="BL726" s="25"/>
      <c r="BW726" s="25">
        <v>21</v>
      </c>
      <c r="BX726" s="5" t="s">
        <v>2183</v>
      </c>
    </row>
    <row r="727" spans="1:76" x14ac:dyDescent="0.25">
      <c r="A727" s="2" t="s">
        <v>2184</v>
      </c>
      <c r="B727" s="3" t="s">
        <v>2185</v>
      </c>
      <c r="C727" s="93" t="s">
        <v>2186</v>
      </c>
      <c r="D727" s="94"/>
      <c r="E727" s="3" t="s">
        <v>131</v>
      </c>
      <c r="F727" s="25">
        <v>600</v>
      </c>
      <c r="G727" s="25">
        <v>0</v>
      </c>
      <c r="H727" s="25">
        <f t="shared" si="694"/>
        <v>0</v>
      </c>
      <c r="I727" s="25">
        <f t="shared" si="695"/>
        <v>0</v>
      </c>
      <c r="J727" s="25">
        <f t="shared" si="696"/>
        <v>0</v>
      </c>
      <c r="K727" s="26" t="s">
        <v>53</v>
      </c>
      <c r="Z727" s="25">
        <f t="shared" si="697"/>
        <v>0</v>
      </c>
      <c r="AB727" s="25">
        <f t="shared" si="698"/>
        <v>0</v>
      </c>
      <c r="AC727" s="25">
        <f t="shared" si="699"/>
        <v>0</v>
      </c>
      <c r="AD727" s="25">
        <f t="shared" si="700"/>
        <v>0</v>
      </c>
      <c r="AE727" s="25">
        <f t="shared" si="701"/>
        <v>0</v>
      </c>
      <c r="AF727" s="25">
        <f t="shared" si="702"/>
        <v>0</v>
      </c>
      <c r="AG727" s="25">
        <f t="shared" si="703"/>
        <v>0</v>
      </c>
      <c r="AH727" s="25">
        <f t="shared" si="704"/>
        <v>0</v>
      </c>
      <c r="AI727" s="11" t="s">
        <v>46</v>
      </c>
      <c r="AJ727" s="25">
        <f t="shared" si="705"/>
        <v>0</v>
      </c>
      <c r="AK727" s="25">
        <f t="shared" si="706"/>
        <v>0</v>
      </c>
      <c r="AL727" s="25">
        <f t="shared" si="707"/>
        <v>0</v>
      </c>
      <c r="AN727" s="25">
        <v>21</v>
      </c>
      <c r="AO727" s="25">
        <f>G727*0.569884058</f>
        <v>0</v>
      </c>
      <c r="AP727" s="25">
        <f>G727*(1-0.569884058)</f>
        <v>0</v>
      </c>
      <c r="AQ727" s="27" t="s">
        <v>58</v>
      </c>
      <c r="AV727" s="25">
        <f t="shared" si="708"/>
        <v>0</v>
      </c>
      <c r="AW727" s="25">
        <f t="shared" si="709"/>
        <v>0</v>
      </c>
      <c r="AX727" s="25">
        <f t="shared" si="710"/>
        <v>0</v>
      </c>
      <c r="AY727" s="27" t="s">
        <v>2129</v>
      </c>
      <c r="AZ727" s="27" t="s">
        <v>305</v>
      </c>
      <c r="BA727" s="11" t="s">
        <v>56</v>
      </c>
      <c r="BC727" s="25">
        <f t="shared" si="711"/>
        <v>0</v>
      </c>
      <c r="BD727" s="25">
        <f t="shared" si="712"/>
        <v>0</v>
      </c>
      <c r="BE727" s="25">
        <v>0</v>
      </c>
      <c r="BF727" s="25">
        <f>727</f>
        <v>727</v>
      </c>
      <c r="BH727" s="25">
        <f t="shared" si="713"/>
        <v>0</v>
      </c>
      <c r="BI727" s="25">
        <f t="shared" si="714"/>
        <v>0</v>
      </c>
      <c r="BJ727" s="25">
        <f t="shared" si="715"/>
        <v>0</v>
      </c>
      <c r="BK727" s="27" t="s">
        <v>57</v>
      </c>
      <c r="BL727" s="25"/>
      <c r="BW727" s="25">
        <v>21</v>
      </c>
      <c r="BX727" s="5" t="s">
        <v>2186</v>
      </c>
    </row>
    <row r="728" spans="1:76" ht="25.5" x14ac:dyDescent="0.25">
      <c r="A728" s="2" t="s">
        <v>2187</v>
      </c>
      <c r="B728" s="3" t="s">
        <v>2188</v>
      </c>
      <c r="C728" s="93" t="s">
        <v>2189</v>
      </c>
      <c r="D728" s="94"/>
      <c r="E728" s="3" t="s">
        <v>52</v>
      </c>
      <c r="F728" s="25">
        <v>140</v>
      </c>
      <c r="G728" s="25">
        <v>0</v>
      </c>
      <c r="H728" s="25">
        <f t="shared" si="694"/>
        <v>0</v>
      </c>
      <c r="I728" s="25">
        <f t="shared" si="695"/>
        <v>0</v>
      </c>
      <c r="J728" s="25">
        <f t="shared" si="696"/>
        <v>0</v>
      </c>
      <c r="K728" s="26" t="s">
        <v>53</v>
      </c>
      <c r="Z728" s="25">
        <f t="shared" si="697"/>
        <v>0</v>
      </c>
      <c r="AB728" s="25">
        <f t="shared" si="698"/>
        <v>0</v>
      </c>
      <c r="AC728" s="25">
        <f t="shared" si="699"/>
        <v>0</v>
      </c>
      <c r="AD728" s="25">
        <f t="shared" si="700"/>
        <v>0</v>
      </c>
      <c r="AE728" s="25">
        <f t="shared" si="701"/>
        <v>0</v>
      </c>
      <c r="AF728" s="25">
        <f t="shared" si="702"/>
        <v>0</v>
      </c>
      <c r="AG728" s="25">
        <f t="shared" si="703"/>
        <v>0</v>
      </c>
      <c r="AH728" s="25">
        <f t="shared" si="704"/>
        <v>0</v>
      </c>
      <c r="AI728" s="11" t="s">
        <v>46</v>
      </c>
      <c r="AJ728" s="25">
        <f t="shared" si="705"/>
        <v>0</v>
      </c>
      <c r="AK728" s="25">
        <f t="shared" si="706"/>
        <v>0</v>
      </c>
      <c r="AL728" s="25">
        <f t="shared" si="707"/>
        <v>0</v>
      </c>
      <c r="AN728" s="25">
        <v>21</v>
      </c>
      <c r="AO728" s="25">
        <f>G728*0.570032952</f>
        <v>0</v>
      </c>
      <c r="AP728" s="25">
        <f>G728*(1-0.570032952)</f>
        <v>0</v>
      </c>
      <c r="AQ728" s="27" t="s">
        <v>58</v>
      </c>
      <c r="AV728" s="25">
        <f t="shared" si="708"/>
        <v>0</v>
      </c>
      <c r="AW728" s="25">
        <f t="shared" si="709"/>
        <v>0</v>
      </c>
      <c r="AX728" s="25">
        <f t="shared" si="710"/>
        <v>0</v>
      </c>
      <c r="AY728" s="27" t="s">
        <v>2129</v>
      </c>
      <c r="AZ728" s="27" t="s">
        <v>305</v>
      </c>
      <c r="BA728" s="11" t="s">
        <v>56</v>
      </c>
      <c r="BC728" s="25">
        <f t="shared" si="711"/>
        <v>0</v>
      </c>
      <c r="BD728" s="25">
        <f t="shared" si="712"/>
        <v>0</v>
      </c>
      <c r="BE728" s="25">
        <v>0</v>
      </c>
      <c r="BF728" s="25">
        <f>728</f>
        <v>728</v>
      </c>
      <c r="BH728" s="25">
        <f t="shared" si="713"/>
        <v>0</v>
      </c>
      <c r="BI728" s="25">
        <f t="shared" si="714"/>
        <v>0</v>
      </c>
      <c r="BJ728" s="25">
        <f t="shared" si="715"/>
        <v>0</v>
      </c>
      <c r="BK728" s="27" t="s">
        <v>57</v>
      </c>
      <c r="BL728" s="25"/>
      <c r="BW728" s="25">
        <v>21</v>
      </c>
      <c r="BX728" s="5" t="s">
        <v>2189</v>
      </c>
    </row>
    <row r="729" spans="1:76" x14ac:dyDescent="0.25">
      <c r="A729" s="2" t="s">
        <v>2190</v>
      </c>
      <c r="B729" s="3" t="s">
        <v>2191</v>
      </c>
      <c r="C729" s="93" t="s">
        <v>2192</v>
      </c>
      <c r="D729" s="94"/>
      <c r="E729" s="3" t="s">
        <v>52</v>
      </c>
      <c r="F729" s="25">
        <v>50</v>
      </c>
      <c r="G729" s="25">
        <v>0</v>
      </c>
      <c r="H729" s="25">
        <f t="shared" si="694"/>
        <v>0</v>
      </c>
      <c r="I729" s="25">
        <f t="shared" si="695"/>
        <v>0</v>
      </c>
      <c r="J729" s="25">
        <f t="shared" si="696"/>
        <v>0</v>
      </c>
      <c r="K729" s="26" t="s">
        <v>53</v>
      </c>
      <c r="Z729" s="25">
        <f t="shared" si="697"/>
        <v>0</v>
      </c>
      <c r="AB729" s="25">
        <f t="shared" si="698"/>
        <v>0</v>
      </c>
      <c r="AC729" s="25">
        <f t="shared" si="699"/>
        <v>0</v>
      </c>
      <c r="AD729" s="25">
        <f t="shared" si="700"/>
        <v>0</v>
      </c>
      <c r="AE729" s="25">
        <f t="shared" si="701"/>
        <v>0</v>
      </c>
      <c r="AF729" s="25">
        <f t="shared" si="702"/>
        <v>0</v>
      </c>
      <c r="AG729" s="25">
        <f t="shared" si="703"/>
        <v>0</v>
      </c>
      <c r="AH729" s="25">
        <f t="shared" si="704"/>
        <v>0</v>
      </c>
      <c r="AI729" s="11" t="s">
        <v>46</v>
      </c>
      <c r="AJ729" s="25">
        <f t="shared" si="705"/>
        <v>0</v>
      </c>
      <c r="AK729" s="25">
        <f t="shared" si="706"/>
        <v>0</v>
      </c>
      <c r="AL729" s="25">
        <f t="shared" si="707"/>
        <v>0</v>
      </c>
      <c r="AN729" s="25">
        <v>21</v>
      </c>
      <c r="AO729" s="25">
        <f>G729*0.569935021</f>
        <v>0</v>
      </c>
      <c r="AP729" s="25">
        <f>G729*(1-0.569935021)</f>
        <v>0</v>
      </c>
      <c r="AQ729" s="27" t="s">
        <v>58</v>
      </c>
      <c r="AV729" s="25">
        <f t="shared" si="708"/>
        <v>0</v>
      </c>
      <c r="AW729" s="25">
        <f t="shared" si="709"/>
        <v>0</v>
      </c>
      <c r="AX729" s="25">
        <f t="shared" si="710"/>
        <v>0</v>
      </c>
      <c r="AY729" s="27" t="s">
        <v>2129</v>
      </c>
      <c r="AZ729" s="27" t="s">
        <v>305</v>
      </c>
      <c r="BA729" s="11" t="s">
        <v>56</v>
      </c>
      <c r="BC729" s="25">
        <f t="shared" si="711"/>
        <v>0</v>
      </c>
      <c r="BD729" s="25">
        <f t="shared" si="712"/>
        <v>0</v>
      </c>
      <c r="BE729" s="25">
        <v>0</v>
      </c>
      <c r="BF729" s="25">
        <f>729</f>
        <v>729</v>
      </c>
      <c r="BH729" s="25">
        <f t="shared" si="713"/>
        <v>0</v>
      </c>
      <c r="BI729" s="25">
        <f t="shared" si="714"/>
        <v>0</v>
      </c>
      <c r="BJ729" s="25">
        <f t="shared" si="715"/>
        <v>0</v>
      </c>
      <c r="BK729" s="27" t="s">
        <v>57</v>
      </c>
      <c r="BL729" s="25"/>
      <c r="BW729" s="25">
        <v>21</v>
      </c>
      <c r="BX729" s="5" t="s">
        <v>2192</v>
      </c>
    </row>
    <row r="730" spans="1:76" x14ac:dyDescent="0.25">
      <c r="A730" s="2" t="s">
        <v>2193</v>
      </c>
      <c r="B730" s="3" t="s">
        <v>2194</v>
      </c>
      <c r="C730" s="93" t="s">
        <v>2195</v>
      </c>
      <c r="D730" s="94"/>
      <c r="E730" s="3" t="s">
        <v>52</v>
      </c>
      <c r="F730" s="25">
        <v>50</v>
      </c>
      <c r="G730" s="25">
        <v>0</v>
      </c>
      <c r="H730" s="25">
        <f t="shared" si="694"/>
        <v>0</v>
      </c>
      <c r="I730" s="25">
        <f t="shared" si="695"/>
        <v>0</v>
      </c>
      <c r="J730" s="25">
        <f t="shared" si="696"/>
        <v>0</v>
      </c>
      <c r="K730" s="26" t="s">
        <v>53</v>
      </c>
      <c r="Z730" s="25">
        <f t="shared" si="697"/>
        <v>0</v>
      </c>
      <c r="AB730" s="25">
        <f t="shared" si="698"/>
        <v>0</v>
      </c>
      <c r="AC730" s="25">
        <f t="shared" si="699"/>
        <v>0</v>
      </c>
      <c r="AD730" s="25">
        <f t="shared" si="700"/>
        <v>0</v>
      </c>
      <c r="AE730" s="25">
        <f t="shared" si="701"/>
        <v>0</v>
      </c>
      <c r="AF730" s="25">
        <f t="shared" si="702"/>
        <v>0</v>
      </c>
      <c r="AG730" s="25">
        <f t="shared" si="703"/>
        <v>0</v>
      </c>
      <c r="AH730" s="25">
        <f t="shared" si="704"/>
        <v>0</v>
      </c>
      <c r="AI730" s="11" t="s">
        <v>46</v>
      </c>
      <c r="AJ730" s="25">
        <f t="shared" si="705"/>
        <v>0</v>
      </c>
      <c r="AK730" s="25">
        <f t="shared" si="706"/>
        <v>0</v>
      </c>
      <c r="AL730" s="25">
        <f t="shared" si="707"/>
        <v>0</v>
      </c>
      <c r="AN730" s="25">
        <v>21</v>
      </c>
      <c r="AO730" s="25">
        <f>G730*0.569837398</f>
        <v>0</v>
      </c>
      <c r="AP730" s="25">
        <f>G730*(1-0.569837398)</f>
        <v>0</v>
      </c>
      <c r="AQ730" s="27" t="s">
        <v>58</v>
      </c>
      <c r="AV730" s="25">
        <f t="shared" si="708"/>
        <v>0</v>
      </c>
      <c r="AW730" s="25">
        <f t="shared" si="709"/>
        <v>0</v>
      </c>
      <c r="AX730" s="25">
        <f t="shared" si="710"/>
        <v>0</v>
      </c>
      <c r="AY730" s="27" t="s">
        <v>2129</v>
      </c>
      <c r="AZ730" s="27" t="s">
        <v>305</v>
      </c>
      <c r="BA730" s="11" t="s">
        <v>56</v>
      </c>
      <c r="BC730" s="25">
        <f t="shared" si="711"/>
        <v>0</v>
      </c>
      <c r="BD730" s="25">
        <f t="shared" si="712"/>
        <v>0</v>
      </c>
      <c r="BE730" s="25">
        <v>0</v>
      </c>
      <c r="BF730" s="25">
        <f>730</f>
        <v>730</v>
      </c>
      <c r="BH730" s="25">
        <f t="shared" si="713"/>
        <v>0</v>
      </c>
      <c r="BI730" s="25">
        <f t="shared" si="714"/>
        <v>0</v>
      </c>
      <c r="BJ730" s="25">
        <f t="shared" si="715"/>
        <v>0</v>
      </c>
      <c r="BK730" s="27" t="s">
        <v>57</v>
      </c>
      <c r="BL730" s="25"/>
      <c r="BW730" s="25">
        <v>21</v>
      </c>
      <c r="BX730" s="5" t="s">
        <v>2195</v>
      </c>
    </row>
    <row r="731" spans="1:76" x14ac:dyDescent="0.25">
      <c r="A731" s="2" t="s">
        <v>2196</v>
      </c>
      <c r="B731" s="3" t="s">
        <v>2197</v>
      </c>
      <c r="C731" s="93" t="s">
        <v>2198</v>
      </c>
      <c r="D731" s="94"/>
      <c r="E731" s="3" t="s">
        <v>131</v>
      </c>
      <c r="F731" s="25">
        <v>200</v>
      </c>
      <c r="G731" s="25">
        <v>0</v>
      </c>
      <c r="H731" s="25">
        <f t="shared" si="694"/>
        <v>0</v>
      </c>
      <c r="I731" s="25">
        <f t="shared" si="695"/>
        <v>0</v>
      </c>
      <c r="J731" s="25">
        <f t="shared" si="696"/>
        <v>0</v>
      </c>
      <c r="K731" s="26" t="s">
        <v>53</v>
      </c>
      <c r="Z731" s="25">
        <f t="shared" si="697"/>
        <v>0</v>
      </c>
      <c r="AB731" s="25">
        <f t="shared" si="698"/>
        <v>0</v>
      </c>
      <c r="AC731" s="25">
        <f t="shared" si="699"/>
        <v>0</v>
      </c>
      <c r="AD731" s="25">
        <f t="shared" si="700"/>
        <v>0</v>
      </c>
      <c r="AE731" s="25">
        <f t="shared" si="701"/>
        <v>0</v>
      </c>
      <c r="AF731" s="25">
        <f t="shared" si="702"/>
        <v>0</v>
      </c>
      <c r="AG731" s="25">
        <f t="shared" si="703"/>
        <v>0</v>
      </c>
      <c r="AH731" s="25">
        <f t="shared" si="704"/>
        <v>0</v>
      </c>
      <c r="AI731" s="11" t="s">
        <v>46</v>
      </c>
      <c r="AJ731" s="25">
        <f t="shared" si="705"/>
        <v>0</v>
      </c>
      <c r="AK731" s="25">
        <f t="shared" si="706"/>
        <v>0</v>
      </c>
      <c r="AL731" s="25">
        <f t="shared" si="707"/>
        <v>0</v>
      </c>
      <c r="AN731" s="25">
        <v>21</v>
      </c>
      <c r="AO731" s="25">
        <f>G731*0.570011666</f>
        <v>0</v>
      </c>
      <c r="AP731" s="25">
        <f>G731*(1-0.570011666)</f>
        <v>0</v>
      </c>
      <c r="AQ731" s="27" t="s">
        <v>58</v>
      </c>
      <c r="AV731" s="25">
        <f t="shared" si="708"/>
        <v>0</v>
      </c>
      <c r="AW731" s="25">
        <f t="shared" si="709"/>
        <v>0</v>
      </c>
      <c r="AX731" s="25">
        <f t="shared" si="710"/>
        <v>0</v>
      </c>
      <c r="AY731" s="27" t="s">
        <v>2129</v>
      </c>
      <c r="AZ731" s="27" t="s">
        <v>305</v>
      </c>
      <c r="BA731" s="11" t="s">
        <v>56</v>
      </c>
      <c r="BC731" s="25">
        <f t="shared" si="711"/>
        <v>0</v>
      </c>
      <c r="BD731" s="25">
        <f t="shared" si="712"/>
        <v>0</v>
      </c>
      <c r="BE731" s="25">
        <v>0</v>
      </c>
      <c r="BF731" s="25">
        <f>731</f>
        <v>731</v>
      </c>
      <c r="BH731" s="25">
        <f t="shared" si="713"/>
        <v>0</v>
      </c>
      <c r="BI731" s="25">
        <f t="shared" si="714"/>
        <v>0</v>
      </c>
      <c r="BJ731" s="25">
        <f t="shared" si="715"/>
        <v>0</v>
      </c>
      <c r="BK731" s="27" t="s">
        <v>57</v>
      </c>
      <c r="BL731" s="25"/>
      <c r="BW731" s="25">
        <v>21</v>
      </c>
      <c r="BX731" s="5" t="s">
        <v>2198</v>
      </c>
    </row>
    <row r="732" spans="1:76" x14ac:dyDescent="0.25">
      <c r="A732" s="2" t="s">
        <v>2199</v>
      </c>
      <c r="B732" s="3" t="s">
        <v>2200</v>
      </c>
      <c r="C732" s="93" t="s">
        <v>2201</v>
      </c>
      <c r="D732" s="94"/>
      <c r="E732" s="3" t="s">
        <v>131</v>
      </c>
      <c r="F732" s="25">
        <v>350</v>
      </c>
      <c r="G732" s="25">
        <v>0</v>
      </c>
      <c r="H732" s="25">
        <f t="shared" si="694"/>
        <v>0</v>
      </c>
      <c r="I732" s="25">
        <f t="shared" si="695"/>
        <v>0</v>
      </c>
      <c r="J732" s="25">
        <f t="shared" si="696"/>
        <v>0</v>
      </c>
      <c r="K732" s="26" t="s">
        <v>53</v>
      </c>
      <c r="Z732" s="25">
        <f t="shared" si="697"/>
        <v>0</v>
      </c>
      <c r="AB732" s="25">
        <f t="shared" si="698"/>
        <v>0</v>
      </c>
      <c r="AC732" s="25">
        <f t="shared" si="699"/>
        <v>0</v>
      </c>
      <c r="AD732" s="25">
        <f t="shared" si="700"/>
        <v>0</v>
      </c>
      <c r="AE732" s="25">
        <f t="shared" si="701"/>
        <v>0</v>
      </c>
      <c r="AF732" s="25">
        <f t="shared" si="702"/>
        <v>0</v>
      </c>
      <c r="AG732" s="25">
        <f t="shared" si="703"/>
        <v>0</v>
      </c>
      <c r="AH732" s="25">
        <f t="shared" si="704"/>
        <v>0</v>
      </c>
      <c r="AI732" s="11" t="s">
        <v>46</v>
      </c>
      <c r="AJ732" s="25">
        <f t="shared" si="705"/>
        <v>0</v>
      </c>
      <c r="AK732" s="25">
        <f t="shared" si="706"/>
        <v>0</v>
      </c>
      <c r="AL732" s="25">
        <f t="shared" si="707"/>
        <v>0</v>
      </c>
      <c r="AN732" s="25">
        <v>21</v>
      </c>
      <c r="AO732" s="25">
        <f>G732*0.570015341</f>
        <v>0</v>
      </c>
      <c r="AP732" s="25">
        <f>G732*(1-0.570015341)</f>
        <v>0</v>
      </c>
      <c r="AQ732" s="27" t="s">
        <v>58</v>
      </c>
      <c r="AV732" s="25">
        <f t="shared" si="708"/>
        <v>0</v>
      </c>
      <c r="AW732" s="25">
        <f t="shared" si="709"/>
        <v>0</v>
      </c>
      <c r="AX732" s="25">
        <f t="shared" si="710"/>
        <v>0</v>
      </c>
      <c r="AY732" s="27" t="s">
        <v>2129</v>
      </c>
      <c r="AZ732" s="27" t="s">
        <v>305</v>
      </c>
      <c r="BA732" s="11" t="s">
        <v>56</v>
      </c>
      <c r="BC732" s="25">
        <f t="shared" si="711"/>
        <v>0</v>
      </c>
      <c r="BD732" s="25">
        <f t="shared" si="712"/>
        <v>0</v>
      </c>
      <c r="BE732" s="25">
        <v>0</v>
      </c>
      <c r="BF732" s="25">
        <f>732</f>
        <v>732</v>
      </c>
      <c r="BH732" s="25">
        <f t="shared" si="713"/>
        <v>0</v>
      </c>
      <c r="BI732" s="25">
        <f t="shared" si="714"/>
        <v>0</v>
      </c>
      <c r="BJ732" s="25">
        <f t="shared" si="715"/>
        <v>0</v>
      </c>
      <c r="BK732" s="27" t="s">
        <v>57</v>
      </c>
      <c r="BL732" s="25"/>
      <c r="BW732" s="25">
        <v>21</v>
      </c>
      <c r="BX732" s="5" t="s">
        <v>2201</v>
      </c>
    </row>
    <row r="733" spans="1:76" x14ac:dyDescent="0.25">
      <c r="A733" s="2" t="s">
        <v>2202</v>
      </c>
      <c r="B733" s="3" t="s">
        <v>2203</v>
      </c>
      <c r="C733" s="93" t="s">
        <v>2204</v>
      </c>
      <c r="D733" s="94"/>
      <c r="E733" s="3" t="s">
        <v>52</v>
      </c>
      <c r="F733" s="25">
        <v>262</v>
      </c>
      <c r="G733" s="25">
        <v>0</v>
      </c>
      <c r="H733" s="25">
        <f t="shared" si="694"/>
        <v>0</v>
      </c>
      <c r="I733" s="25">
        <f t="shared" si="695"/>
        <v>0</v>
      </c>
      <c r="J733" s="25">
        <f t="shared" si="696"/>
        <v>0</v>
      </c>
      <c r="K733" s="26" t="s">
        <v>53</v>
      </c>
      <c r="Z733" s="25">
        <f t="shared" si="697"/>
        <v>0</v>
      </c>
      <c r="AB733" s="25">
        <f t="shared" si="698"/>
        <v>0</v>
      </c>
      <c r="AC733" s="25">
        <f t="shared" si="699"/>
        <v>0</v>
      </c>
      <c r="AD733" s="25">
        <f t="shared" si="700"/>
        <v>0</v>
      </c>
      <c r="AE733" s="25">
        <f t="shared" si="701"/>
        <v>0</v>
      </c>
      <c r="AF733" s="25">
        <f t="shared" si="702"/>
        <v>0</v>
      </c>
      <c r="AG733" s="25">
        <f t="shared" si="703"/>
        <v>0</v>
      </c>
      <c r="AH733" s="25">
        <f t="shared" si="704"/>
        <v>0</v>
      </c>
      <c r="AI733" s="11" t="s">
        <v>46</v>
      </c>
      <c r="AJ733" s="25">
        <f t="shared" si="705"/>
        <v>0</v>
      </c>
      <c r="AK733" s="25">
        <f t="shared" si="706"/>
        <v>0</v>
      </c>
      <c r="AL733" s="25">
        <f t="shared" si="707"/>
        <v>0</v>
      </c>
      <c r="AN733" s="25">
        <v>21</v>
      </c>
      <c r="AO733" s="25">
        <f>G733*0.570005675</f>
        <v>0</v>
      </c>
      <c r="AP733" s="25">
        <f>G733*(1-0.570005675)</f>
        <v>0</v>
      </c>
      <c r="AQ733" s="27" t="s">
        <v>58</v>
      </c>
      <c r="AV733" s="25">
        <f t="shared" si="708"/>
        <v>0</v>
      </c>
      <c r="AW733" s="25">
        <f t="shared" si="709"/>
        <v>0</v>
      </c>
      <c r="AX733" s="25">
        <f t="shared" si="710"/>
        <v>0</v>
      </c>
      <c r="AY733" s="27" t="s">
        <v>2129</v>
      </c>
      <c r="AZ733" s="27" t="s">
        <v>305</v>
      </c>
      <c r="BA733" s="11" t="s">
        <v>56</v>
      </c>
      <c r="BC733" s="25">
        <f t="shared" si="711"/>
        <v>0</v>
      </c>
      <c r="BD733" s="25">
        <f t="shared" si="712"/>
        <v>0</v>
      </c>
      <c r="BE733" s="25">
        <v>0</v>
      </c>
      <c r="BF733" s="25">
        <f>733</f>
        <v>733</v>
      </c>
      <c r="BH733" s="25">
        <f t="shared" si="713"/>
        <v>0</v>
      </c>
      <c r="BI733" s="25">
        <f t="shared" si="714"/>
        <v>0</v>
      </c>
      <c r="BJ733" s="25">
        <f t="shared" si="715"/>
        <v>0</v>
      </c>
      <c r="BK733" s="27" t="s">
        <v>57</v>
      </c>
      <c r="BL733" s="25"/>
      <c r="BW733" s="25">
        <v>21</v>
      </c>
      <c r="BX733" s="5" t="s">
        <v>2204</v>
      </c>
    </row>
    <row r="734" spans="1:76" x14ac:dyDescent="0.25">
      <c r="A734" s="2" t="s">
        <v>2205</v>
      </c>
      <c r="B734" s="3" t="s">
        <v>2206</v>
      </c>
      <c r="C734" s="93" t="s">
        <v>2207</v>
      </c>
      <c r="D734" s="94"/>
      <c r="E734" s="3" t="s">
        <v>52</v>
      </c>
      <c r="F734" s="25">
        <v>524</v>
      </c>
      <c r="G734" s="25">
        <v>0</v>
      </c>
      <c r="H734" s="25">
        <f t="shared" si="694"/>
        <v>0</v>
      </c>
      <c r="I734" s="25">
        <f t="shared" si="695"/>
        <v>0</v>
      </c>
      <c r="J734" s="25">
        <f t="shared" si="696"/>
        <v>0</v>
      </c>
      <c r="K734" s="26" t="s">
        <v>53</v>
      </c>
      <c r="Z734" s="25">
        <f t="shared" si="697"/>
        <v>0</v>
      </c>
      <c r="AB734" s="25">
        <f t="shared" si="698"/>
        <v>0</v>
      </c>
      <c r="AC734" s="25">
        <f t="shared" si="699"/>
        <v>0</v>
      </c>
      <c r="AD734" s="25">
        <f t="shared" si="700"/>
        <v>0</v>
      </c>
      <c r="AE734" s="25">
        <f t="shared" si="701"/>
        <v>0</v>
      </c>
      <c r="AF734" s="25">
        <f t="shared" si="702"/>
        <v>0</v>
      </c>
      <c r="AG734" s="25">
        <f t="shared" si="703"/>
        <v>0</v>
      </c>
      <c r="AH734" s="25">
        <f t="shared" si="704"/>
        <v>0</v>
      </c>
      <c r="AI734" s="11" t="s">
        <v>46</v>
      </c>
      <c r="AJ734" s="25">
        <f t="shared" si="705"/>
        <v>0</v>
      </c>
      <c r="AK734" s="25">
        <f t="shared" si="706"/>
        <v>0</v>
      </c>
      <c r="AL734" s="25">
        <f t="shared" si="707"/>
        <v>0</v>
      </c>
      <c r="AN734" s="25">
        <v>21</v>
      </c>
      <c r="AO734" s="25">
        <f>G734*0.570000987</f>
        <v>0</v>
      </c>
      <c r="AP734" s="25">
        <f>G734*(1-0.570000987)</f>
        <v>0</v>
      </c>
      <c r="AQ734" s="27" t="s">
        <v>58</v>
      </c>
      <c r="AV734" s="25">
        <f t="shared" si="708"/>
        <v>0</v>
      </c>
      <c r="AW734" s="25">
        <f t="shared" si="709"/>
        <v>0</v>
      </c>
      <c r="AX734" s="25">
        <f t="shared" si="710"/>
        <v>0</v>
      </c>
      <c r="AY734" s="27" t="s">
        <v>2129</v>
      </c>
      <c r="AZ734" s="27" t="s">
        <v>305</v>
      </c>
      <c r="BA734" s="11" t="s">
        <v>56</v>
      </c>
      <c r="BC734" s="25">
        <f t="shared" si="711"/>
        <v>0</v>
      </c>
      <c r="BD734" s="25">
        <f t="shared" si="712"/>
        <v>0</v>
      </c>
      <c r="BE734" s="25">
        <v>0</v>
      </c>
      <c r="BF734" s="25">
        <f>734</f>
        <v>734</v>
      </c>
      <c r="BH734" s="25">
        <f t="shared" si="713"/>
        <v>0</v>
      </c>
      <c r="BI734" s="25">
        <f t="shared" si="714"/>
        <v>0</v>
      </c>
      <c r="BJ734" s="25">
        <f t="shared" si="715"/>
        <v>0</v>
      </c>
      <c r="BK734" s="27" t="s">
        <v>57</v>
      </c>
      <c r="BL734" s="25"/>
      <c r="BW734" s="25">
        <v>21</v>
      </c>
      <c r="BX734" s="5" t="s">
        <v>2207</v>
      </c>
    </row>
    <row r="735" spans="1:76" x14ac:dyDescent="0.25">
      <c r="A735" s="2" t="s">
        <v>2208</v>
      </c>
      <c r="B735" s="3" t="s">
        <v>2209</v>
      </c>
      <c r="C735" s="93" t="s">
        <v>2210</v>
      </c>
      <c r="D735" s="94"/>
      <c r="E735" s="3" t="s">
        <v>52</v>
      </c>
      <c r="F735" s="25">
        <v>524</v>
      </c>
      <c r="G735" s="25">
        <v>0</v>
      </c>
      <c r="H735" s="25">
        <f t="shared" si="694"/>
        <v>0</v>
      </c>
      <c r="I735" s="25">
        <f t="shared" si="695"/>
        <v>0</v>
      </c>
      <c r="J735" s="25">
        <f t="shared" si="696"/>
        <v>0</v>
      </c>
      <c r="K735" s="26" t="s">
        <v>53</v>
      </c>
      <c r="Z735" s="25">
        <f t="shared" si="697"/>
        <v>0</v>
      </c>
      <c r="AB735" s="25">
        <f t="shared" si="698"/>
        <v>0</v>
      </c>
      <c r="AC735" s="25">
        <f t="shared" si="699"/>
        <v>0</v>
      </c>
      <c r="AD735" s="25">
        <f t="shared" si="700"/>
        <v>0</v>
      </c>
      <c r="AE735" s="25">
        <f t="shared" si="701"/>
        <v>0</v>
      </c>
      <c r="AF735" s="25">
        <f t="shared" si="702"/>
        <v>0</v>
      </c>
      <c r="AG735" s="25">
        <f t="shared" si="703"/>
        <v>0</v>
      </c>
      <c r="AH735" s="25">
        <f t="shared" si="704"/>
        <v>0</v>
      </c>
      <c r="AI735" s="11" t="s">
        <v>46</v>
      </c>
      <c r="AJ735" s="25">
        <f t="shared" si="705"/>
        <v>0</v>
      </c>
      <c r="AK735" s="25">
        <f t="shared" si="706"/>
        <v>0</v>
      </c>
      <c r="AL735" s="25">
        <f t="shared" si="707"/>
        <v>0</v>
      </c>
      <c r="AN735" s="25">
        <v>21</v>
      </c>
      <c r="AO735" s="25">
        <f>G735*0</f>
        <v>0</v>
      </c>
      <c r="AP735" s="25">
        <f>G735*(1-0)</f>
        <v>0</v>
      </c>
      <c r="AQ735" s="27" t="s">
        <v>58</v>
      </c>
      <c r="AV735" s="25">
        <f t="shared" si="708"/>
        <v>0</v>
      </c>
      <c r="AW735" s="25">
        <f t="shared" si="709"/>
        <v>0</v>
      </c>
      <c r="AX735" s="25">
        <f t="shared" si="710"/>
        <v>0</v>
      </c>
      <c r="AY735" s="27" t="s">
        <v>2129</v>
      </c>
      <c r="AZ735" s="27" t="s">
        <v>305</v>
      </c>
      <c r="BA735" s="11" t="s">
        <v>56</v>
      </c>
      <c r="BC735" s="25">
        <f t="shared" si="711"/>
        <v>0</v>
      </c>
      <c r="BD735" s="25">
        <f t="shared" si="712"/>
        <v>0</v>
      </c>
      <c r="BE735" s="25">
        <v>0</v>
      </c>
      <c r="BF735" s="25">
        <f>735</f>
        <v>735</v>
      </c>
      <c r="BH735" s="25">
        <f t="shared" si="713"/>
        <v>0</v>
      </c>
      <c r="BI735" s="25">
        <f t="shared" si="714"/>
        <v>0</v>
      </c>
      <c r="BJ735" s="25">
        <f t="shared" si="715"/>
        <v>0</v>
      </c>
      <c r="BK735" s="27" t="s">
        <v>57</v>
      </c>
      <c r="BL735" s="25"/>
      <c r="BW735" s="25">
        <v>21</v>
      </c>
      <c r="BX735" s="5" t="s">
        <v>2210</v>
      </c>
    </row>
    <row r="736" spans="1:76" x14ac:dyDescent="0.25">
      <c r="A736" s="2" t="s">
        <v>2211</v>
      </c>
      <c r="B736" s="3" t="s">
        <v>2212</v>
      </c>
      <c r="C736" s="93" t="s">
        <v>2213</v>
      </c>
      <c r="D736" s="94"/>
      <c r="E736" s="3" t="s">
        <v>52</v>
      </c>
      <c r="F736" s="25">
        <v>262</v>
      </c>
      <c r="G736" s="25">
        <v>0</v>
      </c>
      <c r="H736" s="25">
        <f t="shared" si="694"/>
        <v>0</v>
      </c>
      <c r="I736" s="25">
        <f t="shared" si="695"/>
        <v>0</v>
      </c>
      <c r="J736" s="25">
        <f t="shared" si="696"/>
        <v>0</v>
      </c>
      <c r="K736" s="26" t="s">
        <v>53</v>
      </c>
      <c r="Z736" s="25">
        <f t="shared" si="697"/>
        <v>0</v>
      </c>
      <c r="AB736" s="25">
        <f t="shared" si="698"/>
        <v>0</v>
      </c>
      <c r="AC736" s="25">
        <f t="shared" si="699"/>
        <v>0</v>
      </c>
      <c r="AD736" s="25">
        <f t="shared" si="700"/>
        <v>0</v>
      </c>
      <c r="AE736" s="25">
        <f t="shared" si="701"/>
        <v>0</v>
      </c>
      <c r="AF736" s="25">
        <f t="shared" si="702"/>
        <v>0</v>
      </c>
      <c r="AG736" s="25">
        <f t="shared" si="703"/>
        <v>0</v>
      </c>
      <c r="AH736" s="25">
        <f t="shared" si="704"/>
        <v>0</v>
      </c>
      <c r="AI736" s="11" t="s">
        <v>46</v>
      </c>
      <c r="AJ736" s="25">
        <f t="shared" si="705"/>
        <v>0</v>
      </c>
      <c r="AK736" s="25">
        <f t="shared" si="706"/>
        <v>0</v>
      </c>
      <c r="AL736" s="25">
        <f t="shared" si="707"/>
        <v>0</v>
      </c>
      <c r="AN736" s="25">
        <v>21</v>
      </c>
      <c r="AO736" s="25">
        <f>G736*0</f>
        <v>0</v>
      </c>
      <c r="AP736" s="25">
        <f>G736*(1-0)</f>
        <v>0</v>
      </c>
      <c r="AQ736" s="27" t="s">
        <v>58</v>
      </c>
      <c r="AV736" s="25">
        <f t="shared" si="708"/>
        <v>0</v>
      </c>
      <c r="AW736" s="25">
        <f t="shared" si="709"/>
        <v>0</v>
      </c>
      <c r="AX736" s="25">
        <f t="shared" si="710"/>
        <v>0</v>
      </c>
      <c r="AY736" s="27" t="s">
        <v>2129</v>
      </c>
      <c r="AZ736" s="27" t="s">
        <v>305</v>
      </c>
      <c r="BA736" s="11" t="s">
        <v>56</v>
      </c>
      <c r="BC736" s="25">
        <f t="shared" si="711"/>
        <v>0</v>
      </c>
      <c r="BD736" s="25">
        <f t="shared" si="712"/>
        <v>0</v>
      </c>
      <c r="BE736" s="25">
        <v>0</v>
      </c>
      <c r="BF736" s="25">
        <f>736</f>
        <v>736</v>
      </c>
      <c r="BH736" s="25">
        <f t="shared" si="713"/>
        <v>0</v>
      </c>
      <c r="BI736" s="25">
        <f t="shared" si="714"/>
        <v>0</v>
      </c>
      <c r="BJ736" s="25">
        <f t="shared" si="715"/>
        <v>0</v>
      </c>
      <c r="BK736" s="27" t="s">
        <v>57</v>
      </c>
      <c r="BL736" s="25"/>
      <c r="BW736" s="25">
        <v>21</v>
      </c>
      <c r="BX736" s="5" t="s">
        <v>2213</v>
      </c>
    </row>
    <row r="737" spans="1:76" x14ac:dyDescent="0.25">
      <c r="A737" s="2" t="s">
        <v>2214</v>
      </c>
      <c r="B737" s="3" t="s">
        <v>2215</v>
      </c>
      <c r="C737" s="93" t="s">
        <v>2216</v>
      </c>
      <c r="D737" s="94"/>
      <c r="E737" s="3" t="s">
        <v>52</v>
      </c>
      <c r="F737" s="25">
        <v>262</v>
      </c>
      <c r="G737" s="25">
        <v>0</v>
      </c>
      <c r="H737" s="25">
        <f t="shared" si="694"/>
        <v>0</v>
      </c>
      <c r="I737" s="25">
        <f t="shared" si="695"/>
        <v>0</v>
      </c>
      <c r="J737" s="25">
        <f t="shared" si="696"/>
        <v>0</v>
      </c>
      <c r="K737" s="26" t="s">
        <v>53</v>
      </c>
      <c r="Z737" s="25">
        <f t="shared" si="697"/>
        <v>0</v>
      </c>
      <c r="AB737" s="25">
        <f t="shared" si="698"/>
        <v>0</v>
      </c>
      <c r="AC737" s="25">
        <f t="shared" si="699"/>
        <v>0</v>
      </c>
      <c r="AD737" s="25">
        <f t="shared" si="700"/>
        <v>0</v>
      </c>
      <c r="AE737" s="25">
        <f t="shared" si="701"/>
        <v>0</v>
      </c>
      <c r="AF737" s="25">
        <f t="shared" si="702"/>
        <v>0</v>
      </c>
      <c r="AG737" s="25">
        <f t="shared" si="703"/>
        <v>0</v>
      </c>
      <c r="AH737" s="25">
        <f t="shared" si="704"/>
        <v>0</v>
      </c>
      <c r="AI737" s="11" t="s">
        <v>46</v>
      </c>
      <c r="AJ737" s="25">
        <f t="shared" si="705"/>
        <v>0</v>
      </c>
      <c r="AK737" s="25">
        <f t="shared" si="706"/>
        <v>0</v>
      </c>
      <c r="AL737" s="25">
        <f t="shared" si="707"/>
        <v>0</v>
      </c>
      <c r="AN737" s="25">
        <v>21</v>
      </c>
      <c r="AO737" s="25">
        <f>G737*0</f>
        <v>0</v>
      </c>
      <c r="AP737" s="25">
        <f>G737*(1-0)</f>
        <v>0</v>
      </c>
      <c r="AQ737" s="27" t="s">
        <v>58</v>
      </c>
      <c r="AV737" s="25">
        <f t="shared" si="708"/>
        <v>0</v>
      </c>
      <c r="AW737" s="25">
        <f t="shared" si="709"/>
        <v>0</v>
      </c>
      <c r="AX737" s="25">
        <f t="shared" si="710"/>
        <v>0</v>
      </c>
      <c r="AY737" s="27" t="s">
        <v>2129</v>
      </c>
      <c r="AZ737" s="27" t="s">
        <v>305</v>
      </c>
      <c r="BA737" s="11" t="s">
        <v>56</v>
      </c>
      <c r="BC737" s="25">
        <f t="shared" si="711"/>
        <v>0</v>
      </c>
      <c r="BD737" s="25">
        <f t="shared" si="712"/>
        <v>0</v>
      </c>
      <c r="BE737" s="25">
        <v>0</v>
      </c>
      <c r="BF737" s="25">
        <f>737</f>
        <v>737</v>
      </c>
      <c r="BH737" s="25">
        <f t="shared" si="713"/>
        <v>0</v>
      </c>
      <c r="BI737" s="25">
        <f t="shared" si="714"/>
        <v>0</v>
      </c>
      <c r="BJ737" s="25">
        <f t="shared" si="715"/>
        <v>0</v>
      </c>
      <c r="BK737" s="27" t="s">
        <v>57</v>
      </c>
      <c r="BL737" s="25"/>
      <c r="BW737" s="25">
        <v>21</v>
      </c>
      <c r="BX737" s="5" t="s">
        <v>2216</v>
      </c>
    </row>
    <row r="738" spans="1:76" x14ac:dyDescent="0.25">
      <c r="A738" s="2" t="s">
        <v>2217</v>
      </c>
      <c r="B738" s="3" t="s">
        <v>2218</v>
      </c>
      <c r="C738" s="93" t="s">
        <v>2219</v>
      </c>
      <c r="D738" s="94"/>
      <c r="E738" s="3" t="s">
        <v>52</v>
      </c>
      <c r="F738" s="25">
        <v>1</v>
      </c>
      <c r="G738" s="25">
        <v>0</v>
      </c>
      <c r="H738" s="25">
        <f t="shared" si="694"/>
        <v>0</v>
      </c>
      <c r="I738" s="25">
        <f t="shared" si="695"/>
        <v>0</v>
      </c>
      <c r="J738" s="25">
        <f t="shared" si="696"/>
        <v>0</v>
      </c>
      <c r="K738" s="26" t="s">
        <v>53</v>
      </c>
      <c r="Z738" s="25">
        <f t="shared" si="697"/>
        <v>0</v>
      </c>
      <c r="AB738" s="25">
        <f t="shared" si="698"/>
        <v>0</v>
      </c>
      <c r="AC738" s="25">
        <f t="shared" si="699"/>
        <v>0</v>
      </c>
      <c r="AD738" s="25">
        <f t="shared" si="700"/>
        <v>0</v>
      </c>
      <c r="AE738" s="25">
        <f t="shared" si="701"/>
        <v>0</v>
      </c>
      <c r="AF738" s="25">
        <f t="shared" si="702"/>
        <v>0</v>
      </c>
      <c r="AG738" s="25">
        <f t="shared" si="703"/>
        <v>0</v>
      </c>
      <c r="AH738" s="25">
        <f t="shared" si="704"/>
        <v>0</v>
      </c>
      <c r="AI738" s="11" t="s">
        <v>46</v>
      </c>
      <c r="AJ738" s="25">
        <f t="shared" si="705"/>
        <v>0</v>
      </c>
      <c r="AK738" s="25">
        <f t="shared" si="706"/>
        <v>0</v>
      </c>
      <c r="AL738" s="25">
        <f t="shared" si="707"/>
        <v>0</v>
      </c>
      <c r="AN738" s="25">
        <v>21</v>
      </c>
      <c r="AO738" s="25">
        <f>G738*0</f>
        <v>0</v>
      </c>
      <c r="AP738" s="25">
        <f>G738*(1-0)</f>
        <v>0</v>
      </c>
      <c r="AQ738" s="27" t="s">
        <v>58</v>
      </c>
      <c r="AV738" s="25">
        <f t="shared" si="708"/>
        <v>0</v>
      </c>
      <c r="AW738" s="25">
        <f t="shared" si="709"/>
        <v>0</v>
      </c>
      <c r="AX738" s="25">
        <f t="shared" si="710"/>
        <v>0</v>
      </c>
      <c r="AY738" s="27" t="s">
        <v>2129</v>
      </c>
      <c r="AZ738" s="27" t="s">
        <v>305</v>
      </c>
      <c r="BA738" s="11" t="s">
        <v>56</v>
      </c>
      <c r="BC738" s="25">
        <f t="shared" si="711"/>
        <v>0</v>
      </c>
      <c r="BD738" s="25">
        <f t="shared" si="712"/>
        <v>0</v>
      </c>
      <c r="BE738" s="25">
        <v>0</v>
      </c>
      <c r="BF738" s="25">
        <f>738</f>
        <v>738</v>
      </c>
      <c r="BH738" s="25">
        <f t="shared" si="713"/>
        <v>0</v>
      </c>
      <c r="BI738" s="25">
        <f t="shared" si="714"/>
        <v>0</v>
      </c>
      <c r="BJ738" s="25">
        <f t="shared" si="715"/>
        <v>0</v>
      </c>
      <c r="BK738" s="27" t="s">
        <v>57</v>
      </c>
      <c r="BL738" s="25"/>
      <c r="BW738" s="25">
        <v>21</v>
      </c>
      <c r="BX738" s="5" t="s">
        <v>2219</v>
      </c>
    </row>
    <row r="739" spans="1:76" x14ac:dyDescent="0.25">
      <c r="A739" s="2" t="s">
        <v>2220</v>
      </c>
      <c r="B739" s="3" t="s">
        <v>2221</v>
      </c>
      <c r="C739" s="93" t="s">
        <v>2222</v>
      </c>
      <c r="D739" s="94"/>
      <c r="E739" s="3" t="s">
        <v>52</v>
      </c>
      <c r="F739" s="25">
        <v>2</v>
      </c>
      <c r="G739" s="25">
        <v>0</v>
      </c>
      <c r="H739" s="25">
        <f t="shared" si="694"/>
        <v>0</v>
      </c>
      <c r="I739" s="25">
        <f t="shared" si="695"/>
        <v>0</v>
      </c>
      <c r="J739" s="25">
        <f t="shared" si="696"/>
        <v>0</v>
      </c>
      <c r="K739" s="26" t="s">
        <v>53</v>
      </c>
      <c r="Z739" s="25">
        <f t="shared" si="697"/>
        <v>0</v>
      </c>
      <c r="AB739" s="25">
        <f t="shared" si="698"/>
        <v>0</v>
      </c>
      <c r="AC739" s="25">
        <f t="shared" si="699"/>
        <v>0</v>
      </c>
      <c r="AD739" s="25">
        <f t="shared" si="700"/>
        <v>0</v>
      </c>
      <c r="AE739" s="25">
        <f t="shared" si="701"/>
        <v>0</v>
      </c>
      <c r="AF739" s="25">
        <f t="shared" si="702"/>
        <v>0</v>
      </c>
      <c r="AG739" s="25">
        <f t="shared" si="703"/>
        <v>0</v>
      </c>
      <c r="AH739" s="25">
        <f t="shared" si="704"/>
        <v>0</v>
      </c>
      <c r="AI739" s="11" t="s">
        <v>46</v>
      </c>
      <c r="AJ739" s="25">
        <f t="shared" si="705"/>
        <v>0</v>
      </c>
      <c r="AK739" s="25">
        <f t="shared" si="706"/>
        <v>0</v>
      </c>
      <c r="AL739" s="25">
        <f t="shared" si="707"/>
        <v>0</v>
      </c>
      <c r="AN739" s="25">
        <v>21</v>
      </c>
      <c r="AO739" s="25">
        <f>G739*0.569995691</f>
        <v>0</v>
      </c>
      <c r="AP739" s="25">
        <f>G739*(1-0.569995691)</f>
        <v>0</v>
      </c>
      <c r="AQ739" s="27" t="s">
        <v>58</v>
      </c>
      <c r="AV739" s="25">
        <f t="shared" si="708"/>
        <v>0</v>
      </c>
      <c r="AW739" s="25">
        <f t="shared" si="709"/>
        <v>0</v>
      </c>
      <c r="AX739" s="25">
        <f t="shared" si="710"/>
        <v>0</v>
      </c>
      <c r="AY739" s="27" t="s">
        <v>2129</v>
      </c>
      <c r="AZ739" s="27" t="s">
        <v>305</v>
      </c>
      <c r="BA739" s="11" t="s">
        <v>56</v>
      </c>
      <c r="BC739" s="25">
        <f t="shared" si="711"/>
        <v>0</v>
      </c>
      <c r="BD739" s="25">
        <f t="shared" si="712"/>
        <v>0</v>
      </c>
      <c r="BE739" s="25">
        <v>0</v>
      </c>
      <c r="BF739" s="25">
        <f>739</f>
        <v>739</v>
      </c>
      <c r="BH739" s="25">
        <f t="shared" si="713"/>
        <v>0</v>
      </c>
      <c r="BI739" s="25">
        <f t="shared" si="714"/>
        <v>0</v>
      </c>
      <c r="BJ739" s="25">
        <f t="shared" si="715"/>
        <v>0</v>
      </c>
      <c r="BK739" s="27" t="s">
        <v>57</v>
      </c>
      <c r="BL739" s="25"/>
      <c r="BW739" s="25">
        <v>21</v>
      </c>
      <c r="BX739" s="5" t="s">
        <v>2222</v>
      </c>
    </row>
    <row r="740" spans="1:76" x14ac:dyDescent="0.25">
      <c r="A740" s="2" t="s">
        <v>2223</v>
      </c>
      <c r="B740" s="3" t="s">
        <v>2224</v>
      </c>
      <c r="C740" s="93" t="s">
        <v>2225</v>
      </c>
      <c r="D740" s="94"/>
      <c r="E740" s="3" t="s">
        <v>52</v>
      </c>
      <c r="F740" s="25">
        <v>2</v>
      </c>
      <c r="G740" s="25">
        <v>0</v>
      </c>
      <c r="H740" s="25">
        <f t="shared" si="694"/>
        <v>0</v>
      </c>
      <c r="I740" s="25">
        <f t="shared" si="695"/>
        <v>0</v>
      </c>
      <c r="J740" s="25">
        <f t="shared" si="696"/>
        <v>0</v>
      </c>
      <c r="K740" s="26" t="s">
        <v>53</v>
      </c>
      <c r="Z740" s="25">
        <f t="shared" si="697"/>
        <v>0</v>
      </c>
      <c r="AB740" s="25">
        <f t="shared" si="698"/>
        <v>0</v>
      </c>
      <c r="AC740" s="25">
        <f t="shared" si="699"/>
        <v>0</v>
      </c>
      <c r="AD740" s="25">
        <f t="shared" si="700"/>
        <v>0</v>
      </c>
      <c r="AE740" s="25">
        <f t="shared" si="701"/>
        <v>0</v>
      </c>
      <c r="AF740" s="25">
        <f t="shared" si="702"/>
        <v>0</v>
      </c>
      <c r="AG740" s="25">
        <f t="shared" si="703"/>
        <v>0</v>
      </c>
      <c r="AH740" s="25">
        <f t="shared" si="704"/>
        <v>0</v>
      </c>
      <c r="AI740" s="11" t="s">
        <v>46</v>
      </c>
      <c r="AJ740" s="25">
        <f t="shared" si="705"/>
        <v>0</v>
      </c>
      <c r="AK740" s="25">
        <f t="shared" si="706"/>
        <v>0</v>
      </c>
      <c r="AL740" s="25">
        <f t="shared" si="707"/>
        <v>0</v>
      </c>
      <c r="AN740" s="25">
        <v>21</v>
      </c>
      <c r="AO740" s="25">
        <f>G740*0.569998384</f>
        <v>0</v>
      </c>
      <c r="AP740" s="25">
        <f>G740*(1-0.569998384)</f>
        <v>0</v>
      </c>
      <c r="AQ740" s="27" t="s">
        <v>58</v>
      </c>
      <c r="AV740" s="25">
        <f t="shared" si="708"/>
        <v>0</v>
      </c>
      <c r="AW740" s="25">
        <f t="shared" si="709"/>
        <v>0</v>
      </c>
      <c r="AX740" s="25">
        <f t="shared" si="710"/>
        <v>0</v>
      </c>
      <c r="AY740" s="27" t="s">
        <v>2129</v>
      </c>
      <c r="AZ740" s="27" t="s">
        <v>305</v>
      </c>
      <c r="BA740" s="11" t="s">
        <v>56</v>
      </c>
      <c r="BC740" s="25">
        <f t="shared" si="711"/>
        <v>0</v>
      </c>
      <c r="BD740" s="25">
        <f t="shared" si="712"/>
        <v>0</v>
      </c>
      <c r="BE740" s="25">
        <v>0</v>
      </c>
      <c r="BF740" s="25">
        <f>740</f>
        <v>740</v>
      </c>
      <c r="BH740" s="25">
        <f t="shared" si="713"/>
        <v>0</v>
      </c>
      <c r="BI740" s="25">
        <f t="shared" si="714"/>
        <v>0</v>
      </c>
      <c r="BJ740" s="25">
        <f t="shared" si="715"/>
        <v>0</v>
      </c>
      <c r="BK740" s="27" t="s">
        <v>57</v>
      </c>
      <c r="BL740" s="25"/>
      <c r="BW740" s="25">
        <v>21</v>
      </c>
      <c r="BX740" s="5" t="s">
        <v>2225</v>
      </c>
    </row>
    <row r="741" spans="1:76" x14ac:dyDescent="0.25">
      <c r="A741" s="2" t="s">
        <v>2226</v>
      </c>
      <c r="B741" s="3" t="s">
        <v>2227</v>
      </c>
      <c r="C741" s="93" t="s">
        <v>2228</v>
      </c>
      <c r="D741" s="94"/>
      <c r="E741" s="3" t="s">
        <v>52</v>
      </c>
      <c r="F741" s="25">
        <v>12</v>
      </c>
      <c r="G741" s="25">
        <v>0</v>
      </c>
      <c r="H741" s="25">
        <f t="shared" si="694"/>
        <v>0</v>
      </c>
      <c r="I741" s="25">
        <f t="shared" si="695"/>
        <v>0</v>
      </c>
      <c r="J741" s="25">
        <f t="shared" si="696"/>
        <v>0</v>
      </c>
      <c r="K741" s="26" t="s">
        <v>53</v>
      </c>
      <c r="Z741" s="25">
        <f t="shared" si="697"/>
        <v>0</v>
      </c>
      <c r="AB741" s="25">
        <f t="shared" si="698"/>
        <v>0</v>
      </c>
      <c r="AC741" s="25">
        <f t="shared" si="699"/>
        <v>0</v>
      </c>
      <c r="AD741" s="25">
        <f t="shared" si="700"/>
        <v>0</v>
      </c>
      <c r="AE741" s="25">
        <f t="shared" si="701"/>
        <v>0</v>
      </c>
      <c r="AF741" s="25">
        <f t="shared" si="702"/>
        <v>0</v>
      </c>
      <c r="AG741" s="25">
        <f t="shared" si="703"/>
        <v>0</v>
      </c>
      <c r="AH741" s="25">
        <f t="shared" si="704"/>
        <v>0</v>
      </c>
      <c r="AI741" s="11" t="s">
        <v>46</v>
      </c>
      <c r="AJ741" s="25">
        <f t="shared" si="705"/>
        <v>0</v>
      </c>
      <c r="AK741" s="25">
        <f t="shared" si="706"/>
        <v>0</v>
      </c>
      <c r="AL741" s="25">
        <f t="shared" si="707"/>
        <v>0</v>
      </c>
      <c r="AN741" s="25">
        <v>21</v>
      </c>
      <c r="AO741" s="25">
        <f>G741*0</f>
        <v>0</v>
      </c>
      <c r="AP741" s="25">
        <f>G741*(1-0)</f>
        <v>0</v>
      </c>
      <c r="AQ741" s="27" t="s">
        <v>58</v>
      </c>
      <c r="AV741" s="25">
        <f t="shared" si="708"/>
        <v>0</v>
      </c>
      <c r="AW741" s="25">
        <f t="shared" si="709"/>
        <v>0</v>
      </c>
      <c r="AX741" s="25">
        <f t="shared" si="710"/>
        <v>0</v>
      </c>
      <c r="AY741" s="27" t="s">
        <v>2129</v>
      </c>
      <c r="AZ741" s="27" t="s">
        <v>305</v>
      </c>
      <c r="BA741" s="11" t="s">
        <v>56</v>
      </c>
      <c r="BC741" s="25">
        <f t="shared" si="711"/>
        <v>0</v>
      </c>
      <c r="BD741" s="25">
        <f t="shared" si="712"/>
        <v>0</v>
      </c>
      <c r="BE741" s="25">
        <v>0</v>
      </c>
      <c r="BF741" s="25">
        <f>741</f>
        <v>741</v>
      </c>
      <c r="BH741" s="25">
        <f t="shared" si="713"/>
        <v>0</v>
      </c>
      <c r="BI741" s="25">
        <f t="shared" si="714"/>
        <v>0</v>
      </c>
      <c r="BJ741" s="25">
        <f t="shared" si="715"/>
        <v>0</v>
      </c>
      <c r="BK741" s="27" t="s">
        <v>57</v>
      </c>
      <c r="BL741" s="25"/>
      <c r="BW741" s="25">
        <v>21</v>
      </c>
      <c r="BX741" s="5" t="s">
        <v>2228</v>
      </c>
    </row>
    <row r="742" spans="1:76" x14ac:dyDescent="0.25">
      <c r="A742" s="2" t="s">
        <v>2229</v>
      </c>
      <c r="B742" s="3" t="s">
        <v>2230</v>
      </c>
      <c r="C742" s="93" t="s">
        <v>2231</v>
      </c>
      <c r="D742" s="94"/>
      <c r="E742" s="3" t="s">
        <v>52</v>
      </c>
      <c r="F742" s="25">
        <v>12</v>
      </c>
      <c r="G742" s="25">
        <v>0</v>
      </c>
      <c r="H742" s="25">
        <f t="shared" si="694"/>
        <v>0</v>
      </c>
      <c r="I742" s="25">
        <f t="shared" si="695"/>
        <v>0</v>
      </c>
      <c r="J742" s="25">
        <f t="shared" si="696"/>
        <v>0</v>
      </c>
      <c r="K742" s="26" t="s">
        <v>53</v>
      </c>
      <c r="Z742" s="25">
        <f t="shared" si="697"/>
        <v>0</v>
      </c>
      <c r="AB742" s="25">
        <f t="shared" si="698"/>
        <v>0</v>
      </c>
      <c r="AC742" s="25">
        <f t="shared" si="699"/>
        <v>0</v>
      </c>
      <c r="AD742" s="25">
        <f t="shared" si="700"/>
        <v>0</v>
      </c>
      <c r="AE742" s="25">
        <f t="shared" si="701"/>
        <v>0</v>
      </c>
      <c r="AF742" s="25">
        <f t="shared" si="702"/>
        <v>0</v>
      </c>
      <c r="AG742" s="25">
        <f t="shared" si="703"/>
        <v>0</v>
      </c>
      <c r="AH742" s="25">
        <f t="shared" si="704"/>
        <v>0</v>
      </c>
      <c r="AI742" s="11" t="s">
        <v>46</v>
      </c>
      <c r="AJ742" s="25">
        <f t="shared" si="705"/>
        <v>0</v>
      </c>
      <c r="AK742" s="25">
        <f t="shared" si="706"/>
        <v>0</v>
      </c>
      <c r="AL742" s="25">
        <f t="shared" si="707"/>
        <v>0</v>
      </c>
      <c r="AN742" s="25">
        <v>21</v>
      </c>
      <c r="AO742" s="25">
        <f>G742*0</f>
        <v>0</v>
      </c>
      <c r="AP742" s="25">
        <f>G742*(1-0)</f>
        <v>0</v>
      </c>
      <c r="AQ742" s="27" t="s">
        <v>58</v>
      </c>
      <c r="AV742" s="25">
        <f t="shared" si="708"/>
        <v>0</v>
      </c>
      <c r="AW742" s="25">
        <f t="shared" si="709"/>
        <v>0</v>
      </c>
      <c r="AX742" s="25">
        <f t="shared" si="710"/>
        <v>0</v>
      </c>
      <c r="AY742" s="27" t="s">
        <v>2129</v>
      </c>
      <c r="AZ742" s="27" t="s">
        <v>305</v>
      </c>
      <c r="BA742" s="11" t="s">
        <v>56</v>
      </c>
      <c r="BC742" s="25">
        <f t="shared" si="711"/>
        <v>0</v>
      </c>
      <c r="BD742" s="25">
        <f t="shared" si="712"/>
        <v>0</v>
      </c>
      <c r="BE742" s="25">
        <v>0</v>
      </c>
      <c r="BF742" s="25">
        <f>742</f>
        <v>742</v>
      </c>
      <c r="BH742" s="25">
        <f t="shared" si="713"/>
        <v>0</v>
      </c>
      <c r="BI742" s="25">
        <f t="shared" si="714"/>
        <v>0</v>
      </c>
      <c r="BJ742" s="25">
        <f t="shared" si="715"/>
        <v>0</v>
      </c>
      <c r="BK742" s="27" t="s">
        <v>57</v>
      </c>
      <c r="BL742" s="25"/>
      <c r="BW742" s="25">
        <v>21</v>
      </c>
      <c r="BX742" s="5" t="s">
        <v>2231</v>
      </c>
    </row>
    <row r="743" spans="1:76" x14ac:dyDescent="0.25">
      <c r="A743" s="2" t="s">
        <v>2232</v>
      </c>
      <c r="B743" s="3" t="s">
        <v>2233</v>
      </c>
      <c r="C743" s="93" t="s">
        <v>2234</v>
      </c>
      <c r="D743" s="94"/>
      <c r="E743" s="3" t="s">
        <v>52</v>
      </c>
      <c r="F743" s="25">
        <v>1</v>
      </c>
      <c r="G743" s="25">
        <v>0</v>
      </c>
      <c r="H743" s="25">
        <f t="shared" si="694"/>
        <v>0</v>
      </c>
      <c r="I743" s="25">
        <f t="shared" si="695"/>
        <v>0</v>
      </c>
      <c r="J743" s="25">
        <f t="shared" si="696"/>
        <v>0</v>
      </c>
      <c r="K743" s="26" t="s">
        <v>53</v>
      </c>
      <c r="Z743" s="25">
        <f t="shared" si="697"/>
        <v>0</v>
      </c>
      <c r="AB743" s="25">
        <f t="shared" si="698"/>
        <v>0</v>
      </c>
      <c r="AC743" s="25">
        <f t="shared" si="699"/>
        <v>0</v>
      </c>
      <c r="AD743" s="25">
        <f t="shared" si="700"/>
        <v>0</v>
      </c>
      <c r="AE743" s="25">
        <f t="shared" si="701"/>
        <v>0</v>
      </c>
      <c r="AF743" s="25">
        <f t="shared" si="702"/>
        <v>0</v>
      </c>
      <c r="AG743" s="25">
        <f t="shared" si="703"/>
        <v>0</v>
      </c>
      <c r="AH743" s="25">
        <f t="shared" si="704"/>
        <v>0</v>
      </c>
      <c r="AI743" s="11" t="s">
        <v>46</v>
      </c>
      <c r="AJ743" s="25">
        <f t="shared" si="705"/>
        <v>0</v>
      </c>
      <c r="AK743" s="25">
        <f t="shared" si="706"/>
        <v>0</v>
      </c>
      <c r="AL743" s="25">
        <f t="shared" si="707"/>
        <v>0</v>
      </c>
      <c r="AN743" s="25">
        <v>21</v>
      </c>
      <c r="AO743" s="25">
        <f>G743*0</f>
        <v>0</v>
      </c>
      <c r="AP743" s="25">
        <f>G743*(1-0)</f>
        <v>0</v>
      </c>
      <c r="AQ743" s="27" t="s">
        <v>58</v>
      </c>
      <c r="AV743" s="25">
        <f t="shared" si="708"/>
        <v>0</v>
      </c>
      <c r="AW743" s="25">
        <f t="shared" si="709"/>
        <v>0</v>
      </c>
      <c r="AX743" s="25">
        <f t="shared" si="710"/>
        <v>0</v>
      </c>
      <c r="AY743" s="27" t="s">
        <v>2129</v>
      </c>
      <c r="AZ743" s="27" t="s">
        <v>305</v>
      </c>
      <c r="BA743" s="11" t="s">
        <v>56</v>
      </c>
      <c r="BC743" s="25">
        <f t="shared" si="711"/>
        <v>0</v>
      </c>
      <c r="BD743" s="25">
        <f t="shared" si="712"/>
        <v>0</v>
      </c>
      <c r="BE743" s="25">
        <v>0</v>
      </c>
      <c r="BF743" s="25">
        <f>743</f>
        <v>743</v>
      </c>
      <c r="BH743" s="25">
        <f t="shared" si="713"/>
        <v>0</v>
      </c>
      <c r="BI743" s="25">
        <f t="shared" si="714"/>
        <v>0</v>
      </c>
      <c r="BJ743" s="25">
        <f t="shared" si="715"/>
        <v>0</v>
      </c>
      <c r="BK743" s="27" t="s">
        <v>57</v>
      </c>
      <c r="BL743" s="25"/>
      <c r="BW743" s="25">
        <v>21</v>
      </c>
      <c r="BX743" s="5" t="s">
        <v>2234</v>
      </c>
    </row>
    <row r="744" spans="1:76" x14ac:dyDescent="0.25">
      <c r="A744" s="2" t="s">
        <v>2235</v>
      </c>
      <c r="B744" s="3" t="s">
        <v>2236</v>
      </c>
      <c r="C744" s="93" t="s">
        <v>2237</v>
      </c>
      <c r="D744" s="94"/>
      <c r="E744" s="3" t="s">
        <v>52</v>
      </c>
      <c r="F744" s="25">
        <v>1</v>
      </c>
      <c r="G744" s="25">
        <v>0</v>
      </c>
      <c r="H744" s="25">
        <f t="shared" si="694"/>
        <v>0</v>
      </c>
      <c r="I744" s="25">
        <f t="shared" si="695"/>
        <v>0</v>
      </c>
      <c r="J744" s="25">
        <f t="shared" si="696"/>
        <v>0</v>
      </c>
      <c r="K744" s="26" t="s">
        <v>53</v>
      </c>
      <c r="Z744" s="25">
        <f t="shared" si="697"/>
        <v>0</v>
      </c>
      <c r="AB744" s="25">
        <f t="shared" si="698"/>
        <v>0</v>
      </c>
      <c r="AC744" s="25">
        <f t="shared" si="699"/>
        <v>0</v>
      </c>
      <c r="AD744" s="25">
        <f t="shared" si="700"/>
        <v>0</v>
      </c>
      <c r="AE744" s="25">
        <f t="shared" si="701"/>
        <v>0</v>
      </c>
      <c r="AF744" s="25">
        <f t="shared" si="702"/>
        <v>0</v>
      </c>
      <c r="AG744" s="25">
        <f t="shared" si="703"/>
        <v>0</v>
      </c>
      <c r="AH744" s="25">
        <f t="shared" si="704"/>
        <v>0</v>
      </c>
      <c r="AI744" s="11" t="s">
        <v>46</v>
      </c>
      <c r="AJ744" s="25">
        <f t="shared" si="705"/>
        <v>0</v>
      </c>
      <c r="AK744" s="25">
        <f t="shared" si="706"/>
        <v>0</v>
      </c>
      <c r="AL744" s="25">
        <f t="shared" si="707"/>
        <v>0</v>
      </c>
      <c r="AN744" s="25">
        <v>21</v>
      </c>
      <c r="AO744" s="25">
        <f>G744*0</f>
        <v>0</v>
      </c>
      <c r="AP744" s="25">
        <f>G744*(1-0)</f>
        <v>0</v>
      </c>
      <c r="AQ744" s="27" t="s">
        <v>58</v>
      </c>
      <c r="AV744" s="25">
        <f t="shared" si="708"/>
        <v>0</v>
      </c>
      <c r="AW744" s="25">
        <f t="shared" si="709"/>
        <v>0</v>
      </c>
      <c r="AX744" s="25">
        <f t="shared" si="710"/>
        <v>0</v>
      </c>
      <c r="AY744" s="27" t="s">
        <v>2129</v>
      </c>
      <c r="AZ744" s="27" t="s">
        <v>305</v>
      </c>
      <c r="BA744" s="11" t="s">
        <v>56</v>
      </c>
      <c r="BC744" s="25">
        <f t="shared" si="711"/>
        <v>0</v>
      </c>
      <c r="BD744" s="25">
        <f t="shared" si="712"/>
        <v>0</v>
      </c>
      <c r="BE744" s="25">
        <v>0</v>
      </c>
      <c r="BF744" s="25">
        <f>744</f>
        <v>744</v>
      </c>
      <c r="BH744" s="25">
        <f t="shared" si="713"/>
        <v>0</v>
      </c>
      <c r="BI744" s="25">
        <f t="shared" si="714"/>
        <v>0</v>
      </c>
      <c r="BJ744" s="25">
        <f t="shared" si="715"/>
        <v>0</v>
      </c>
      <c r="BK744" s="27" t="s">
        <v>57</v>
      </c>
      <c r="BL744" s="25"/>
      <c r="BW744" s="25">
        <v>21</v>
      </c>
      <c r="BX744" s="5" t="s">
        <v>2237</v>
      </c>
    </row>
    <row r="745" spans="1:76" x14ac:dyDescent="0.25">
      <c r="A745" s="2" t="s">
        <v>2238</v>
      </c>
      <c r="B745" s="3" t="s">
        <v>2239</v>
      </c>
      <c r="C745" s="93" t="s">
        <v>2240</v>
      </c>
      <c r="D745" s="94"/>
      <c r="E745" s="3" t="s">
        <v>52</v>
      </c>
      <c r="F745" s="25">
        <v>1</v>
      </c>
      <c r="G745" s="25">
        <v>0</v>
      </c>
      <c r="H745" s="25">
        <f t="shared" si="694"/>
        <v>0</v>
      </c>
      <c r="I745" s="25">
        <f t="shared" si="695"/>
        <v>0</v>
      </c>
      <c r="J745" s="25">
        <f t="shared" si="696"/>
        <v>0</v>
      </c>
      <c r="K745" s="26" t="s">
        <v>53</v>
      </c>
      <c r="Z745" s="25">
        <f t="shared" si="697"/>
        <v>0</v>
      </c>
      <c r="AB745" s="25">
        <f t="shared" si="698"/>
        <v>0</v>
      </c>
      <c r="AC745" s="25">
        <f t="shared" si="699"/>
        <v>0</v>
      </c>
      <c r="AD745" s="25">
        <f t="shared" si="700"/>
        <v>0</v>
      </c>
      <c r="AE745" s="25">
        <f t="shared" si="701"/>
        <v>0</v>
      </c>
      <c r="AF745" s="25">
        <f t="shared" si="702"/>
        <v>0</v>
      </c>
      <c r="AG745" s="25">
        <f t="shared" si="703"/>
        <v>0</v>
      </c>
      <c r="AH745" s="25">
        <f t="shared" si="704"/>
        <v>0</v>
      </c>
      <c r="AI745" s="11" t="s">
        <v>46</v>
      </c>
      <c r="AJ745" s="25">
        <f t="shared" si="705"/>
        <v>0</v>
      </c>
      <c r="AK745" s="25">
        <f t="shared" si="706"/>
        <v>0</v>
      </c>
      <c r="AL745" s="25">
        <f t="shared" si="707"/>
        <v>0</v>
      </c>
      <c r="AN745" s="25">
        <v>21</v>
      </c>
      <c r="AO745" s="25">
        <f>G745*1</f>
        <v>0</v>
      </c>
      <c r="AP745" s="25">
        <f>G745*(1-1)</f>
        <v>0</v>
      </c>
      <c r="AQ745" s="27" t="s">
        <v>58</v>
      </c>
      <c r="AV745" s="25">
        <f t="shared" si="708"/>
        <v>0</v>
      </c>
      <c r="AW745" s="25">
        <f t="shared" si="709"/>
        <v>0</v>
      </c>
      <c r="AX745" s="25">
        <f t="shared" si="710"/>
        <v>0</v>
      </c>
      <c r="AY745" s="27" t="s">
        <v>2129</v>
      </c>
      <c r="AZ745" s="27" t="s">
        <v>305</v>
      </c>
      <c r="BA745" s="11" t="s">
        <v>56</v>
      </c>
      <c r="BC745" s="25">
        <f t="shared" si="711"/>
        <v>0</v>
      </c>
      <c r="BD745" s="25">
        <f t="shared" si="712"/>
        <v>0</v>
      </c>
      <c r="BE745" s="25">
        <v>0</v>
      </c>
      <c r="BF745" s="25">
        <f>745</f>
        <v>745</v>
      </c>
      <c r="BH745" s="25">
        <f t="shared" si="713"/>
        <v>0</v>
      </c>
      <c r="BI745" s="25">
        <f t="shared" si="714"/>
        <v>0</v>
      </c>
      <c r="BJ745" s="25">
        <f t="shared" si="715"/>
        <v>0</v>
      </c>
      <c r="BK745" s="27" t="s">
        <v>57</v>
      </c>
      <c r="BL745" s="25"/>
      <c r="BW745" s="25">
        <v>21</v>
      </c>
      <c r="BX745" s="5" t="s">
        <v>2240</v>
      </c>
    </row>
    <row r="746" spans="1:76" x14ac:dyDescent="0.25">
      <c r="A746" s="28" t="s">
        <v>46</v>
      </c>
      <c r="B746" s="29" t="s">
        <v>2241</v>
      </c>
      <c r="C746" s="150" t="s">
        <v>2242</v>
      </c>
      <c r="D746" s="151"/>
      <c r="E746" s="30" t="s">
        <v>4</v>
      </c>
      <c r="F746" s="30" t="s">
        <v>4</v>
      </c>
      <c r="G746" s="30" t="s">
        <v>4</v>
      </c>
      <c r="H746" s="1">
        <f>ROUND(SUM(H747:H765),1)</f>
        <v>0</v>
      </c>
      <c r="I746" s="1">
        <f>ROUND(SUM(I747:I765),1)</f>
        <v>0</v>
      </c>
      <c r="J746" s="1">
        <f>ROUND(SUM(J747:J765),1)</f>
        <v>0</v>
      </c>
      <c r="K746" s="31" t="s">
        <v>46</v>
      </c>
      <c r="AI746" s="11" t="s">
        <v>46</v>
      </c>
      <c r="AS746" s="1">
        <f>SUM(AJ747:AJ765)</f>
        <v>0</v>
      </c>
      <c r="AT746" s="1">
        <f>SUM(AK747:AK765)</f>
        <v>0</v>
      </c>
      <c r="AU746" s="1">
        <f>SUM(AL747:AL765)</f>
        <v>0</v>
      </c>
    </row>
    <row r="747" spans="1:76" ht="25.5" x14ac:dyDescent="0.25">
      <c r="A747" s="2" t="s">
        <v>2243</v>
      </c>
      <c r="B747" s="3" t="s">
        <v>2244</v>
      </c>
      <c r="C747" s="93" t="s">
        <v>2245</v>
      </c>
      <c r="D747" s="94"/>
      <c r="E747" s="3" t="s">
        <v>52</v>
      </c>
      <c r="F747" s="25">
        <v>1</v>
      </c>
      <c r="G747" s="25">
        <v>0</v>
      </c>
      <c r="H747" s="25">
        <f t="shared" ref="H747:H765" si="718">ROUND(F747*AO747,2)</f>
        <v>0</v>
      </c>
      <c r="I747" s="25">
        <f t="shared" ref="I747:I765" si="719">ROUND(F747*AP747,2)</f>
        <v>0</v>
      </c>
      <c r="J747" s="25">
        <f t="shared" ref="J747:J765" si="720">ROUND(F747*G747,1)</f>
        <v>0</v>
      </c>
      <c r="K747" s="26" t="s">
        <v>53</v>
      </c>
      <c r="Z747" s="25">
        <f t="shared" ref="Z747:Z765" si="721">ROUND(IF(AQ747="5",BJ747,0),2)</f>
        <v>0</v>
      </c>
      <c r="AB747" s="25">
        <f t="shared" ref="AB747:AB765" si="722">ROUND(IF(AQ747="1",BH747,0),2)</f>
        <v>0</v>
      </c>
      <c r="AC747" s="25">
        <f t="shared" ref="AC747:AC765" si="723">ROUND(IF(AQ747="1",BI747,0),2)</f>
        <v>0</v>
      </c>
      <c r="AD747" s="25">
        <f t="shared" ref="AD747:AD765" si="724">ROUND(IF(AQ747="7",BH747,0),2)</f>
        <v>0</v>
      </c>
      <c r="AE747" s="25">
        <f t="shared" ref="AE747:AE765" si="725">ROUND(IF(AQ747="7",BI747,0),2)</f>
        <v>0</v>
      </c>
      <c r="AF747" s="25">
        <f t="shared" ref="AF747:AF765" si="726">ROUND(IF(AQ747="2",BH747,0),2)</f>
        <v>0</v>
      </c>
      <c r="AG747" s="25">
        <f t="shared" ref="AG747:AG765" si="727">ROUND(IF(AQ747="2",BI747,0),2)</f>
        <v>0</v>
      </c>
      <c r="AH747" s="25">
        <f t="shared" ref="AH747:AH765" si="728">ROUND(IF(AQ747="0",BJ747,0),2)</f>
        <v>0</v>
      </c>
      <c r="AI747" s="11" t="s">
        <v>46</v>
      </c>
      <c r="AJ747" s="25">
        <f t="shared" ref="AJ747:AJ765" si="729">IF(AN747=0,J747,0)</f>
        <v>0</v>
      </c>
      <c r="AK747" s="25">
        <f t="shared" ref="AK747:AK765" si="730">IF(AN747=12,J747,0)</f>
        <v>0</v>
      </c>
      <c r="AL747" s="25">
        <f t="shared" ref="AL747:AL765" si="731">IF(AN747=21,J747,0)</f>
        <v>0</v>
      </c>
      <c r="AN747" s="25">
        <v>21</v>
      </c>
      <c r="AO747" s="25">
        <f>G747*0.569999391</f>
        <v>0</v>
      </c>
      <c r="AP747" s="25">
        <f>G747*(1-0.569999391)</f>
        <v>0</v>
      </c>
      <c r="AQ747" s="27" t="s">
        <v>58</v>
      </c>
      <c r="AV747" s="25">
        <f t="shared" ref="AV747:AV765" si="732">ROUND(AW747+AX747,2)</f>
        <v>0</v>
      </c>
      <c r="AW747" s="25">
        <f t="shared" ref="AW747:AW765" si="733">ROUND(F747*AO747,2)</f>
        <v>0</v>
      </c>
      <c r="AX747" s="25">
        <f t="shared" ref="AX747:AX765" si="734">ROUND(F747*AP747,2)</f>
        <v>0</v>
      </c>
      <c r="AY747" s="27" t="s">
        <v>2246</v>
      </c>
      <c r="AZ747" s="27" t="s">
        <v>305</v>
      </c>
      <c r="BA747" s="11" t="s">
        <v>56</v>
      </c>
      <c r="BC747" s="25">
        <f t="shared" ref="BC747:BC765" si="735">AW747+AX747</f>
        <v>0</v>
      </c>
      <c r="BD747" s="25">
        <f t="shared" ref="BD747:BD765" si="736">G747/(100-BE747)*100</f>
        <v>0</v>
      </c>
      <c r="BE747" s="25">
        <v>0</v>
      </c>
      <c r="BF747" s="25">
        <f>747</f>
        <v>747</v>
      </c>
      <c r="BH747" s="25">
        <f t="shared" ref="BH747:BH765" si="737">F747*AO747</f>
        <v>0</v>
      </c>
      <c r="BI747" s="25">
        <f t="shared" ref="BI747:BI765" si="738">F747*AP747</f>
        <v>0</v>
      </c>
      <c r="BJ747" s="25">
        <f t="shared" ref="BJ747:BJ765" si="739">F747*G747</f>
        <v>0</v>
      </c>
      <c r="BK747" s="27" t="s">
        <v>57</v>
      </c>
      <c r="BL747" s="25"/>
      <c r="BW747" s="25">
        <v>21</v>
      </c>
      <c r="BX747" s="5" t="s">
        <v>2245</v>
      </c>
    </row>
    <row r="748" spans="1:76" x14ac:dyDescent="0.25">
      <c r="A748" s="2" t="s">
        <v>2247</v>
      </c>
      <c r="B748" s="3" t="s">
        <v>2248</v>
      </c>
      <c r="C748" s="93" t="s">
        <v>2249</v>
      </c>
      <c r="D748" s="94"/>
      <c r="E748" s="3" t="s">
        <v>52</v>
      </c>
      <c r="F748" s="25">
        <v>1</v>
      </c>
      <c r="G748" s="25">
        <v>0</v>
      </c>
      <c r="H748" s="25">
        <f t="shared" si="718"/>
        <v>0</v>
      </c>
      <c r="I748" s="25">
        <f t="shared" si="719"/>
        <v>0</v>
      </c>
      <c r="J748" s="25">
        <f t="shared" si="720"/>
        <v>0</v>
      </c>
      <c r="K748" s="26" t="s">
        <v>53</v>
      </c>
      <c r="Z748" s="25">
        <f t="shared" si="721"/>
        <v>0</v>
      </c>
      <c r="AB748" s="25">
        <f t="shared" si="722"/>
        <v>0</v>
      </c>
      <c r="AC748" s="25">
        <f t="shared" si="723"/>
        <v>0</v>
      </c>
      <c r="AD748" s="25">
        <f t="shared" si="724"/>
        <v>0</v>
      </c>
      <c r="AE748" s="25">
        <f t="shared" si="725"/>
        <v>0</v>
      </c>
      <c r="AF748" s="25">
        <f t="shared" si="726"/>
        <v>0</v>
      </c>
      <c r="AG748" s="25">
        <f t="shared" si="727"/>
        <v>0</v>
      </c>
      <c r="AH748" s="25">
        <f t="shared" si="728"/>
        <v>0</v>
      </c>
      <c r="AI748" s="11" t="s">
        <v>46</v>
      </c>
      <c r="AJ748" s="25">
        <f t="shared" si="729"/>
        <v>0</v>
      </c>
      <c r="AK748" s="25">
        <f t="shared" si="730"/>
        <v>0</v>
      </c>
      <c r="AL748" s="25">
        <f t="shared" si="731"/>
        <v>0</v>
      </c>
      <c r="AN748" s="25">
        <v>21</v>
      </c>
      <c r="AO748" s="25">
        <f>G748*0.570010787</f>
        <v>0</v>
      </c>
      <c r="AP748" s="25">
        <f>G748*(1-0.570010787)</f>
        <v>0</v>
      </c>
      <c r="AQ748" s="27" t="s">
        <v>58</v>
      </c>
      <c r="AV748" s="25">
        <f t="shared" si="732"/>
        <v>0</v>
      </c>
      <c r="AW748" s="25">
        <f t="shared" si="733"/>
        <v>0</v>
      </c>
      <c r="AX748" s="25">
        <f t="shared" si="734"/>
        <v>0</v>
      </c>
      <c r="AY748" s="27" t="s">
        <v>2246</v>
      </c>
      <c r="AZ748" s="27" t="s">
        <v>305</v>
      </c>
      <c r="BA748" s="11" t="s">
        <v>56</v>
      </c>
      <c r="BC748" s="25">
        <f t="shared" si="735"/>
        <v>0</v>
      </c>
      <c r="BD748" s="25">
        <f t="shared" si="736"/>
        <v>0</v>
      </c>
      <c r="BE748" s="25">
        <v>0</v>
      </c>
      <c r="BF748" s="25">
        <f>748</f>
        <v>748</v>
      </c>
      <c r="BH748" s="25">
        <f t="shared" si="737"/>
        <v>0</v>
      </c>
      <c r="BI748" s="25">
        <f t="shared" si="738"/>
        <v>0</v>
      </c>
      <c r="BJ748" s="25">
        <f t="shared" si="739"/>
        <v>0</v>
      </c>
      <c r="BK748" s="27" t="s">
        <v>57</v>
      </c>
      <c r="BL748" s="25"/>
      <c r="BW748" s="25">
        <v>21</v>
      </c>
      <c r="BX748" s="5" t="s">
        <v>2249</v>
      </c>
    </row>
    <row r="749" spans="1:76" x14ac:dyDescent="0.25">
      <c r="A749" s="2" t="s">
        <v>2250</v>
      </c>
      <c r="B749" s="3" t="s">
        <v>2251</v>
      </c>
      <c r="C749" s="93" t="s">
        <v>2252</v>
      </c>
      <c r="D749" s="94"/>
      <c r="E749" s="3" t="s">
        <v>52</v>
      </c>
      <c r="F749" s="25">
        <v>2</v>
      </c>
      <c r="G749" s="25">
        <v>0</v>
      </c>
      <c r="H749" s="25">
        <f t="shared" si="718"/>
        <v>0</v>
      </c>
      <c r="I749" s="25">
        <f t="shared" si="719"/>
        <v>0</v>
      </c>
      <c r="J749" s="25">
        <f t="shared" si="720"/>
        <v>0</v>
      </c>
      <c r="K749" s="26" t="s">
        <v>53</v>
      </c>
      <c r="Z749" s="25">
        <f t="shared" si="721"/>
        <v>0</v>
      </c>
      <c r="AB749" s="25">
        <f t="shared" si="722"/>
        <v>0</v>
      </c>
      <c r="AC749" s="25">
        <f t="shared" si="723"/>
        <v>0</v>
      </c>
      <c r="AD749" s="25">
        <f t="shared" si="724"/>
        <v>0</v>
      </c>
      <c r="AE749" s="25">
        <f t="shared" si="725"/>
        <v>0</v>
      </c>
      <c r="AF749" s="25">
        <f t="shared" si="726"/>
        <v>0</v>
      </c>
      <c r="AG749" s="25">
        <f t="shared" si="727"/>
        <v>0</v>
      </c>
      <c r="AH749" s="25">
        <f t="shared" si="728"/>
        <v>0</v>
      </c>
      <c r="AI749" s="11" t="s">
        <v>46</v>
      </c>
      <c r="AJ749" s="25">
        <f t="shared" si="729"/>
        <v>0</v>
      </c>
      <c r="AK749" s="25">
        <f t="shared" si="730"/>
        <v>0</v>
      </c>
      <c r="AL749" s="25">
        <f t="shared" si="731"/>
        <v>0</v>
      </c>
      <c r="AN749" s="25">
        <v>21</v>
      </c>
      <c r="AO749" s="25">
        <f>G749*0.57</f>
        <v>0</v>
      </c>
      <c r="AP749" s="25">
        <f>G749*(1-0.57)</f>
        <v>0</v>
      </c>
      <c r="AQ749" s="27" t="s">
        <v>58</v>
      </c>
      <c r="AV749" s="25">
        <f t="shared" si="732"/>
        <v>0</v>
      </c>
      <c r="AW749" s="25">
        <f t="shared" si="733"/>
        <v>0</v>
      </c>
      <c r="AX749" s="25">
        <f t="shared" si="734"/>
        <v>0</v>
      </c>
      <c r="AY749" s="27" t="s">
        <v>2246</v>
      </c>
      <c r="AZ749" s="27" t="s">
        <v>305</v>
      </c>
      <c r="BA749" s="11" t="s">
        <v>56</v>
      </c>
      <c r="BC749" s="25">
        <f t="shared" si="735"/>
        <v>0</v>
      </c>
      <c r="BD749" s="25">
        <f t="shared" si="736"/>
        <v>0</v>
      </c>
      <c r="BE749" s="25">
        <v>0</v>
      </c>
      <c r="BF749" s="25">
        <f>749</f>
        <v>749</v>
      </c>
      <c r="BH749" s="25">
        <f t="shared" si="737"/>
        <v>0</v>
      </c>
      <c r="BI749" s="25">
        <f t="shared" si="738"/>
        <v>0</v>
      </c>
      <c r="BJ749" s="25">
        <f t="shared" si="739"/>
        <v>0</v>
      </c>
      <c r="BK749" s="27" t="s">
        <v>57</v>
      </c>
      <c r="BL749" s="25"/>
      <c r="BW749" s="25">
        <v>21</v>
      </c>
      <c r="BX749" s="5" t="s">
        <v>2252</v>
      </c>
    </row>
    <row r="750" spans="1:76" x14ac:dyDescent="0.25">
      <c r="A750" s="2" t="s">
        <v>2253</v>
      </c>
      <c r="B750" s="3" t="s">
        <v>2254</v>
      </c>
      <c r="C750" s="93" t="s">
        <v>2255</v>
      </c>
      <c r="D750" s="94"/>
      <c r="E750" s="3" t="s">
        <v>52</v>
      </c>
      <c r="F750" s="25">
        <v>3</v>
      </c>
      <c r="G750" s="25">
        <v>0</v>
      </c>
      <c r="H750" s="25">
        <f t="shared" si="718"/>
        <v>0</v>
      </c>
      <c r="I750" s="25">
        <f t="shared" si="719"/>
        <v>0</v>
      </c>
      <c r="J750" s="25">
        <f t="shared" si="720"/>
        <v>0</v>
      </c>
      <c r="K750" s="26" t="s">
        <v>53</v>
      </c>
      <c r="Z750" s="25">
        <f t="shared" si="721"/>
        <v>0</v>
      </c>
      <c r="AB750" s="25">
        <f t="shared" si="722"/>
        <v>0</v>
      </c>
      <c r="AC750" s="25">
        <f t="shared" si="723"/>
        <v>0</v>
      </c>
      <c r="AD750" s="25">
        <f t="shared" si="724"/>
        <v>0</v>
      </c>
      <c r="AE750" s="25">
        <f t="shared" si="725"/>
        <v>0</v>
      </c>
      <c r="AF750" s="25">
        <f t="shared" si="726"/>
        <v>0</v>
      </c>
      <c r="AG750" s="25">
        <f t="shared" si="727"/>
        <v>0</v>
      </c>
      <c r="AH750" s="25">
        <f t="shared" si="728"/>
        <v>0</v>
      </c>
      <c r="AI750" s="11" t="s">
        <v>46</v>
      </c>
      <c r="AJ750" s="25">
        <f t="shared" si="729"/>
        <v>0</v>
      </c>
      <c r="AK750" s="25">
        <f t="shared" si="730"/>
        <v>0</v>
      </c>
      <c r="AL750" s="25">
        <f t="shared" si="731"/>
        <v>0</v>
      </c>
      <c r="AN750" s="25">
        <v>21</v>
      </c>
      <c r="AO750" s="25">
        <f>G750*0.569998721</f>
        <v>0</v>
      </c>
      <c r="AP750" s="25">
        <f>G750*(1-0.569998721)</f>
        <v>0</v>
      </c>
      <c r="AQ750" s="27" t="s">
        <v>58</v>
      </c>
      <c r="AV750" s="25">
        <f t="shared" si="732"/>
        <v>0</v>
      </c>
      <c r="AW750" s="25">
        <f t="shared" si="733"/>
        <v>0</v>
      </c>
      <c r="AX750" s="25">
        <f t="shared" si="734"/>
        <v>0</v>
      </c>
      <c r="AY750" s="27" t="s">
        <v>2246</v>
      </c>
      <c r="AZ750" s="27" t="s">
        <v>305</v>
      </c>
      <c r="BA750" s="11" t="s">
        <v>56</v>
      </c>
      <c r="BC750" s="25">
        <f t="shared" si="735"/>
        <v>0</v>
      </c>
      <c r="BD750" s="25">
        <f t="shared" si="736"/>
        <v>0</v>
      </c>
      <c r="BE750" s="25">
        <v>0</v>
      </c>
      <c r="BF750" s="25">
        <f>750</f>
        <v>750</v>
      </c>
      <c r="BH750" s="25">
        <f t="shared" si="737"/>
        <v>0</v>
      </c>
      <c r="BI750" s="25">
        <f t="shared" si="738"/>
        <v>0</v>
      </c>
      <c r="BJ750" s="25">
        <f t="shared" si="739"/>
        <v>0</v>
      </c>
      <c r="BK750" s="27" t="s">
        <v>57</v>
      </c>
      <c r="BL750" s="25"/>
      <c r="BW750" s="25">
        <v>21</v>
      </c>
      <c r="BX750" s="5" t="s">
        <v>2255</v>
      </c>
    </row>
    <row r="751" spans="1:76" x14ac:dyDescent="0.25">
      <c r="A751" s="2" t="s">
        <v>2256</v>
      </c>
      <c r="B751" s="3" t="s">
        <v>2257</v>
      </c>
      <c r="C751" s="93" t="s">
        <v>2258</v>
      </c>
      <c r="D751" s="94"/>
      <c r="E751" s="3" t="s">
        <v>52</v>
      </c>
      <c r="F751" s="25">
        <v>6</v>
      </c>
      <c r="G751" s="25">
        <v>0</v>
      </c>
      <c r="H751" s="25">
        <f t="shared" si="718"/>
        <v>0</v>
      </c>
      <c r="I751" s="25">
        <f t="shared" si="719"/>
        <v>0</v>
      </c>
      <c r="J751" s="25">
        <f t="shared" si="720"/>
        <v>0</v>
      </c>
      <c r="K751" s="26" t="s">
        <v>53</v>
      </c>
      <c r="Z751" s="25">
        <f t="shared" si="721"/>
        <v>0</v>
      </c>
      <c r="AB751" s="25">
        <f t="shared" si="722"/>
        <v>0</v>
      </c>
      <c r="AC751" s="25">
        <f t="shared" si="723"/>
        <v>0</v>
      </c>
      <c r="AD751" s="25">
        <f t="shared" si="724"/>
        <v>0</v>
      </c>
      <c r="AE751" s="25">
        <f t="shared" si="725"/>
        <v>0</v>
      </c>
      <c r="AF751" s="25">
        <f t="shared" si="726"/>
        <v>0</v>
      </c>
      <c r="AG751" s="25">
        <f t="shared" si="727"/>
        <v>0</v>
      </c>
      <c r="AH751" s="25">
        <f t="shared" si="728"/>
        <v>0</v>
      </c>
      <c r="AI751" s="11" t="s">
        <v>46</v>
      </c>
      <c r="AJ751" s="25">
        <f t="shared" si="729"/>
        <v>0</v>
      </c>
      <c r="AK751" s="25">
        <f t="shared" si="730"/>
        <v>0</v>
      </c>
      <c r="AL751" s="25">
        <f t="shared" si="731"/>
        <v>0</v>
      </c>
      <c r="AN751" s="25">
        <v>21</v>
      </c>
      <c r="AO751" s="25">
        <f>G751*0.569994288</f>
        <v>0</v>
      </c>
      <c r="AP751" s="25">
        <f>G751*(1-0.569994288)</f>
        <v>0</v>
      </c>
      <c r="AQ751" s="27" t="s">
        <v>58</v>
      </c>
      <c r="AV751" s="25">
        <f t="shared" si="732"/>
        <v>0</v>
      </c>
      <c r="AW751" s="25">
        <f t="shared" si="733"/>
        <v>0</v>
      </c>
      <c r="AX751" s="25">
        <f t="shared" si="734"/>
        <v>0</v>
      </c>
      <c r="AY751" s="27" t="s">
        <v>2246</v>
      </c>
      <c r="AZ751" s="27" t="s">
        <v>305</v>
      </c>
      <c r="BA751" s="11" t="s">
        <v>56</v>
      </c>
      <c r="BC751" s="25">
        <f t="shared" si="735"/>
        <v>0</v>
      </c>
      <c r="BD751" s="25">
        <f t="shared" si="736"/>
        <v>0</v>
      </c>
      <c r="BE751" s="25">
        <v>0</v>
      </c>
      <c r="BF751" s="25">
        <f>751</f>
        <v>751</v>
      </c>
      <c r="BH751" s="25">
        <f t="shared" si="737"/>
        <v>0</v>
      </c>
      <c r="BI751" s="25">
        <f t="shared" si="738"/>
        <v>0</v>
      </c>
      <c r="BJ751" s="25">
        <f t="shared" si="739"/>
        <v>0</v>
      </c>
      <c r="BK751" s="27" t="s">
        <v>57</v>
      </c>
      <c r="BL751" s="25"/>
      <c r="BW751" s="25">
        <v>21</v>
      </c>
      <c r="BX751" s="5" t="s">
        <v>2258</v>
      </c>
    </row>
    <row r="752" spans="1:76" x14ac:dyDescent="0.25">
      <c r="A752" s="2" t="s">
        <v>2259</v>
      </c>
      <c r="B752" s="3" t="s">
        <v>2260</v>
      </c>
      <c r="C752" s="93" t="s">
        <v>2261</v>
      </c>
      <c r="D752" s="94"/>
      <c r="E752" s="3" t="s">
        <v>52</v>
      </c>
      <c r="F752" s="25">
        <v>22</v>
      </c>
      <c r="G752" s="25">
        <v>0</v>
      </c>
      <c r="H752" s="25">
        <f t="shared" si="718"/>
        <v>0</v>
      </c>
      <c r="I752" s="25">
        <f t="shared" si="719"/>
        <v>0</v>
      </c>
      <c r="J752" s="25">
        <f t="shared" si="720"/>
        <v>0</v>
      </c>
      <c r="K752" s="26" t="s">
        <v>53</v>
      </c>
      <c r="Z752" s="25">
        <f t="shared" si="721"/>
        <v>0</v>
      </c>
      <c r="AB752" s="25">
        <f t="shared" si="722"/>
        <v>0</v>
      </c>
      <c r="AC752" s="25">
        <f t="shared" si="723"/>
        <v>0</v>
      </c>
      <c r="AD752" s="25">
        <f t="shared" si="724"/>
        <v>0</v>
      </c>
      <c r="AE752" s="25">
        <f t="shared" si="725"/>
        <v>0</v>
      </c>
      <c r="AF752" s="25">
        <f t="shared" si="726"/>
        <v>0</v>
      </c>
      <c r="AG752" s="25">
        <f t="shared" si="727"/>
        <v>0</v>
      </c>
      <c r="AH752" s="25">
        <f t="shared" si="728"/>
        <v>0</v>
      </c>
      <c r="AI752" s="11" t="s">
        <v>46</v>
      </c>
      <c r="AJ752" s="25">
        <f t="shared" si="729"/>
        <v>0</v>
      </c>
      <c r="AK752" s="25">
        <f t="shared" si="730"/>
        <v>0</v>
      </c>
      <c r="AL752" s="25">
        <f t="shared" si="731"/>
        <v>0</v>
      </c>
      <c r="AN752" s="25">
        <v>21</v>
      </c>
      <c r="AO752" s="25">
        <f>G752*0.569999858</f>
        <v>0</v>
      </c>
      <c r="AP752" s="25">
        <f>G752*(1-0.569999858)</f>
        <v>0</v>
      </c>
      <c r="AQ752" s="27" t="s">
        <v>58</v>
      </c>
      <c r="AV752" s="25">
        <f t="shared" si="732"/>
        <v>0</v>
      </c>
      <c r="AW752" s="25">
        <f t="shared" si="733"/>
        <v>0</v>
      </c>
      <c r="AX752" s="25">
        <f t="shared" si="734"/>
        <v>0</v>
      </c>
      <c r="AY752" s="27" t="s">
        <v>2246</v>
      </c>
      <c r="AZ752" s="27" t="s">
        <v>305</v>
      </c>
      <c r="BA752" s="11" t="s">
        <v>56</v>
      </c>
      <c r="BC752" s="25">
        <f t="shared" si="735"/>
        <v>0</v>
      </c>
      <c r="BD752" s="25">
        <f t="shared" si="736"/>
        <v>0</v>
      </c>
      <c r="BE752" s="25">
        <v>0</v>
      </c>
      <c r="BF752" s="25">
        <f>752</f>
        <v>752</v>
      </c>
      <c r="BH752" s="25">
        <f t="shared" si="737"/>
        <v>0</v>
      </c>
      <c r="BI752" s="25">
        <f t="shared" si="738"/>
        <v>0</v>
      </c>
      <c r="BJ752" s="25">
        <f t="shared" si="739"/>
        <v>0</v>
      </c>
      <c r="BK752" s="27" t="s">
        <v>57</v>
      </c>
      <c r="BL752" s="25"/>
      <c r="BW752" s="25">
        <v>21</v>
      </c>
      <c r="BX752" s="5" t="s">
        <v>2261</v>
      </c>
    </row>
    <row r="753" spans="1:76" x14ac:dyDescent="0.25">
      <c r="A753" s="2" t="s">
        <v>2262</v>
      </c>
      <c r="B753" s="3" t="s">
        <v>2263</v>
      </c>
      <c r="C753" s="93" t="s">
        <v>2264</v>
      </c>
      <c r="D753" s="94"/>
      <c r="E753" s="3" t="s">
        <v>131</v>
      </c>
      <c r="F753" s="25">
        <v>350</v>
      </c>
      <c r="G753" s="25">
        <v>0</v>
      </c>
      <c r="H753" s="25">
        <f t="shared" si="718"/>
        <v>0</v>
      </c>
      <c r="I753" s="25">
        <f t="shared" si="719"/>
        <v>0</v>
      </c>
      <c r="J753" s="25">
        <f t="shared" si="720"/>
        <v>0</v>
      </c>
      <c r="K753" s="26" t="s">
        <v>53</v>
      </c>
      <c r="Z753" s="25">
        <f t="shared" si="721"/>
        <v>0</v>
      </c>
      <c r="AB753" s="25">
        <f t="shared" si="722"/>
        <v>0</v>
      </c>
      <c r="AC753" s="25">
        <f t="shared" si="723"/>
        <v>0</v>
      </c>
      <c r="AD753" s="25">
        <f t="shared" si="724"/>
        <v>0</v>
      </c>
      <c r="AE753" s="25">
        <f t="shared" si="725"/>
        <v>0</v>
      </c>
      <c r="AF753" s="25">
        <f t="shared" si="726"/>
        <v>0</v>
      </c>
      <c r="AG753" s="25">
        <f t="shared" si="727"/>
        <v>0</v>
      </c>
      <c r="AH753" s="25">
        <f t="shared" si="728"/>
        <v>0</v>
      </c>
      <c r="AI753" s="11" t="s">
        <v>46</v>
      </c>
      <c r="AJ753" s="25">
        <f t="shared" si="729"/>
        <v>0</v>
      </c>
      <c r="AK753" s="25">
        <f t="shared" si="730"/>
        <v>0</v>
      </c>
      <c r="AL753" s="25">
        <f t="shared" si="731"/>
        <v>0</v>
      </c>
      <c r="AN753" s="25">
        <v>21</v>
      </c>
      <c r="AO753" s="25">
        <f>G753*0.570069602</f>
        <v>0</v>
      </c>
      <c r="AP753" s="25">
        <f>G753*(1-0.570069602)</f>
        <v>0</v>
      </c>
      <c r="AQ753" s="27" t="s">
        <v>58</v>
      </c>
      <c r="AV753" s="25">
        <f t="shared" si="732"/>
        <v>0</v>
      </c>
      <c r="AW753" s="25">
        <f t="shared" si="733"/>
        <v>0</v>
      </c>
      <c r="AX753" s="25">
        <f t="shared" si="734"/>
        <v>0</v>
      </c>
      <c r="AY753" s="27" t="s">
        <v>2246</v>
      </c>
      <c r="AZ753" s="27" t="s">
        <v>305</v>
      </c>
      <c r="BA753" s="11" t="s">
        <v>56</v>
      </c>
      <c r="BC753" s="25">
        <f t="shared" si="735"/>
        <v>0</v>
      </c>
      <c r="BD753" s="25">
        <f t="shared" si="736"/>
        <v>0</v>
      </c>
      <c r="BE753" s="25">
        <v>0</v>
      </c>
      <c r="BF753" s="25">
        <f>753</f>
        <v>753</v>
      </c>
      <c r="BH753" s="25">
        <f t="shared" si="737"/>
        <v>0</v>
      </c>
      <c r="BI753" s="25">
        <f t="shared" si="738"/>
        <v>0</v>
      </c>
      <c r="BJ753" s="25">
        <f t="shared" si="739"/>
        <v>0</v>
      </c>
      <c r="BK753" s="27" t="s">
        <v>57</v>
      </c>
      <c r="BL753" s="25"/>
      <c r="BW753" s="25">
        <v>21</v>
      </c>
      <c r="BX753" s="5" t="s">
        <v>2264</v>
      </c>
    </row>
    <row r="754" spans="1:76" x14ac:dyDescent="0.25">
      <c r="A754" s="2" t="s">
        <v>2265</v>
      </c>
      <c r="B754" s="3" t="s">
        <v>2266</v>
      </c>
      <c r="C754" s="93" t="s">
        <v>2267</v>
      </c>
      <c r="D754" s="94"/>
      <c r="E754" s="3" t="s">
        <v>131</v>
      </c>
      <c r="F754" s="25">
        <v>50</v>
      </c>
      <c r="G754" s="25">
        <v>0</v>
      </c>
      <c r="H754" s="25">
        <f t="shared" si="718"/>
        <v>0</v>
      </c>
      <c r="I754" s="25">
        <f t="shared" si="719"/>
        <v>0</v>
      </c>
      <c r="J754" s="25">
        <f t="shared" si="720"/>
        <v>0</v>
      </c>
      <c r="K754" s="26" t="s">
        <v>53</v>
      </c>
      <c r="Z754" s="25">
        <f t="shared" si="721"/>
        <v>0</v>
      </c>
      <c r="AB754" s="25">
        <f t="shared" si="722"/>
        <v>0</v>
      </c>
      <c r="AC754" s="25">
        <f t="shared" si="723"/>
        <v>0</v>
      </c>
      <c r="AD754" s="25">
        <f t="shared" si="724"/>
        <v>0</v>
      </c>
      <c r="AE754" s="25">
        <f t="shared" si="725"/>
        <v>0</v>
      </c>
      <c r="AF754" s="25">
        <f t="shared" si="726"/>
        <v>0</v>
      </c>
      <c r="AG754" s="25">
        <f t="shared" si="727"/>
        <v>0</v>
      </c>
      <c r="AH754" s="25">
        <f t="shared" si="728"/>
        <v>0</v>
      </c>
      <c r="AI754" s="11" t="s">
        <v>46</v>
      </c>
      <c r="AJ754" s="25">
        <f t="shared" si="729"/>
        <v>0</v>
      </c>
      <c r="AK754" s="25">
        <f t="shared" si="730"/>
        <v>0</v>
      </c>
      <c r="AL754" s="25">
        <f t="shared" si="731"/>
        <v>0</v>
      </c>
      <c r="AN754" s="25">
        <v>21</v>
      </c>
      <c r="AO754" s="25">
        <f>G754*0.570026679</f>
        <v>0</v>
      </c>
      <c r="AP754" s="25">
        <f>G754*(1-0.570026679)</f>
        <v>0</v>
      </c>
      <c r="AQ754" s="27" t="s">
        <v>58</v>
      </c>
      <c r="AV754" s="25">
        <f t="shared" si="732"/>
        <v>0</v>
      </c>
      <c r="AW754" s="25">
        <f t="shared" si="733"/>
        <v>0</v>
      </c>
      <c r="AX754" s="25">
        <f t="shared" si="734"/>
        <v>0</v>
      </c>
      <c r="AY754" s="27" t="s">
        <v>2246</v>
      </c>
      <c r="AZ754" s="27" t="s">
        <v>305</v>
      </c>
      <c r="BA754" s="11" t="s">
        <v>56</v>
      </c>
      <c r="BC754" s="25">
        <f t="shared" si="735"/>
        <v>0</v>
      </c>
      <c r="BD754" s="25">
        <f t="shared" si="736"/>
        <v>0</v>
      </c>
      <c r="BE754" s="25">
        <v>0</v>
      </c>
      <c r="BF754" s="25">
        <f>754</f>
        <v>754</v>
      </c>
      <c r="BH754" s="25">
        <f t="shared" si="737"/>
        <v>0</v>
      </c>
      <c r="BI754" s="25">
        <f t="shared" si="738"/>
        <v>0</v>
      </c>
      <c r="BJ754" s="25">
        <f t="shared" si="739"/>
        <v>0</v>
      </c>
      <c r="BK754" s="27" t="s">
        <v>57</v>
      </c>
      <c r="BL754" s="25"/>
      <c r="BW754" s="25">
        <v>21</v>
      </c>
      <c r="BX754" s="5" t="s">
        <v>2267</v>
      </c>
    </row>
    <row r="755" spans="1:76" x14ac:dyDescent="0.25">
      <c r="A755" s="2" t="s">
        <v>2268</v>
      </c>
      <c r="B755" s="3" t="s">
        <v>2269</v>
      </c>
      <c r="C755" s="93" t="s">
        <v>2270</v>
      </c>
      <c r="D755" s="94"/>
      <c r="E755" s="3" t="s">
        <v>131</v>
      </c>
      <c r="F755" s="25">
        <v>50</v>
      </c>
      <c r="G755" s="25">
        <v>0</v>
      </c>
      <c r="H755" s="25">
        <f t="shared" si="718"/>
        <v>0</v>
      </c>
      <c r="I755" s="25">
        <f t="shared" si="719"/>
        <v>0</v>
      </c>
      <c r="J755" s="25">
        <f t="shared" si="720"/>
        <v>0</v>
      </c>
      <c r="K755" s="26" t="s">
        <v>53</v>
      </c>
      <c r="Z755" s="25">
        <f t="shared" si="721"/>
        <v>0</v>
      </c>
      <c r="AB755" s="25">
        <f t="shared" si="722"/>
        <v>0</v>
      </c>
      <c r="AC755" s="25">
        <f t="shared" si="723"/>
        <v>0</v>
      </c>
      <c r="AD755" s="25">
        <f t="shared" si="724"/>
        <v>0</v>
      </c>
      <c r="AE755" s="25">
        <f t="shared" si="725"/>
        <v>0</v>
      </c>
      <c r="AF755" s="25">
        <f t="shared" si="726"/>
        <v>0</v>
      </c>
      <c r="AG755" s="25">
        <f t="shared" si="727"/>
        <v>0</v>
      </c>
      <c r="AH755" s="25">
        <f t="shared" si="728"/>
        <v>0</v>
      </c>
      <c r="AI755" s="11" t="s">
        <v>46</v>
      </c>
      <c r="AJ755" s="25">
        <f t="shared" si="729"/>
        <v>0</v>
      </c>
      <c r="AK755" s="25">
        <f t="shared" si="730"/>
        <v>0</v>
      </c>
      <c r="AL755" s="25">
        <f t="shared" si="731"/>
        <v>0</v>
      </c>
      <c r="AN755" s="25">
        <v>21</v>
      </c>
      <c r="AO755" s="25">
        <f>G755*0.569888199</f>
        <v>0</v>
      </c>
      <c r="AP755" s="25">
        <f>G755*(1-0.569888199)</f>
        <v>0</v>
      </c>
      <c r="AQ755" s="27" t="s">
        <v>58</v>
      </c>
      <c r="AV755" s="25">
        <f t="shared" si="732"/>
        <v>0</v>
      </c>
      <c r="AW755" s="25">
        <f t="shared" si="733"/>
        <v>0</v>
      </c>
      <c r="AX755" s="25">
        <f t="shared" si="734"/>
        <v>0</v>
      </c>
      <c r="AY755" s="27" t="s">
        <v>2246</v>
      </c>
      <c r="AZ755" s="27" t="s">
        <v>305</v>
      </c>
      <c r="BA755" s="11" t="s">
        <v>56</v>
      </c>
      <c r="BC755" s="25">
        <f t="shared" si="735"/>
        <v>0</v>
      </c>
      <c r="BD755" s="25">
        <f t="shared" si="736"/>
        <v>0</v>
      </c>
      <c r="BE755" s="25">
        <v>0</v>
      </c>
      <c r="BF755" s="25">
        <f>755</f>
        <v>755</v>
      </c>
      <c r="BH755" s="25">
        <f t="shared" si="737"/>
        <v>0</v>
      </c>
      <c r="BI755" s="25">
        <f t="shared" si="738"/>
        <v>0</v>
      </c>
      <c r="BJ755" s="25">
        <f t="shared" si="739"/>
        <v>0</v>
      </c>
      <c r="BK755" s="27" t="s">
        <v>57</v>
      </c>
      <c r="BL755" s="25"/>
      <c r="BW755" s="25">
        <v>21</v>
      </c>
      <c r="BX755" s="5" t="s">
        <v>2270</v>
      </c>
    </row>
    <row r="756" spans="1:76" x14ac:dyDescent="0.25">
      <c r="A756" s="2" t="s">
        <v>539</v>
      </c>
      <c r="B756" s="3" t="s">
        <v>2271</v>
      </c>
      <c r="C756" s="93" t="s">
        <v>2272</v>
      </c>
      <c r="D756" s="94"/>
      <c r="E756" s="3" t="s">
        <v>52</v>
      </c>
      <c r="F756" s="25">
        <v>35</v>
      </c>
      <c r="G756" s="25">
        <v>0</v>
      </c>
      <c r="H756" s="25">
        <f t="shared" si="718"/>
        <v>0</v>
      </c>
      <c r="I756" s="25">
        <f t="shared" si="719"/>
        <v>0</v>
      </c>
      <c r="J756" s="25">
        <f t="shared" si="720"/>
        <v>0</v>
      </c>
      <c r="K756" s="26" t="s">
        <v>53</v>
      </c>
      <c r="Z756" s="25">
        <f t="shared" si="721"/>
        <v>0</v>
      </c>
      <c r="AB756" s="25">
        <f t="shared" si="722"/>
        <v>0</v>
      </c>
      <c r="AC756" s="25">
        <f t="shared" si="723"/>
        <v>0</v>
      </c>
      <c r="AD756" s="25">
        <f t="shared" si="724"/>
        <v>0</v>
      </c>
      <c r="AE756" s="25">
        <f t="shared" si="725"/>
        <v>0</v>
      </c>
      <c r="AF756" s="25">
        <f t="shared" si="726"/>
        <v>0</v>
      </c>
      <c r="AG756" s="25">
        <f t="shared" si="727"/>
        <v>0</v>
      </c>
      <c r="AH756" s="25">
        <f t="shared" si="728"/>
        <v>0</v>
      </c>
      <c r="AI756" s="11" t="s">
        <v>46</v>
      </c>
      <c r="AJ756" s="25">
        <f t="shared" si="729"/>
        <v>0</v>
      </c>
      <c r="AK756" s="25">
        <f t="shared" si="730"/>
        <v>0</v>
      </c>
      <c r="AL756" s="25">
        <f t="shared" si="731"/>
        <v>0</v>
      </c>
      <c r="AN756" s="25">
        <v>21</v>
      </c>
      <c r="AO756" s="25">
        <f>G756*0.569983945</f>
        <v>0</v>
      </c>
      <c r="AP756" s="25">
        <f>G756*(1-0.569983945)</f>
        <v>0</v>
      </c>
      <c r="AQ756" s="27" t="s">
        <v>58</v>
      </c>
      <c r="AV756" s="25">
        <f t="shared" si="732"/>
        <v>0</v>
      </c>
      <c r="AW756" s="25">
        <f t="shared" si="733"/>
        <v>0</v>
      </c>
      <c r="AX756" s="25">
        <f t="shared" si="734"/>
        <v>0</v>
      </c>
      <c r="AY756" s="27" t="s">
        <v>2246</v>
      </c>
      <c r="AZ756" s="27" t="s">
        <v>305</v>
      </c>
      <c r="BA756" s="11" t="s">
        <v>56</v>
      </c>
      <c r="BC756" s="25">
        <f t="shared" si="735"/>
        <v>0</v>
      </c>
      <c r="BD756" s="25">
        <f t="shared" si="736"/>
        <v>0</v>
      </c>
      <c r="BE756" s="25">
        <v>0</v>
      </c>
      <c r="BF756" s="25">
        <f>756</f>
        <v>756</v>
      </c>
      <c r="BH756" s="25">
        <f t="shared" si="737"/>
        <v>0</v>
      </c>
      <c r="BI756" s="25">
        <f t="shared" si="738"/>
        <v>0</v>
      </c>
      <c r="BJ756" s="25">
        <f t="shared" si="739"/>
        <v>0</v>
      </c>
      <c r="BK756" s="27" t="s">
        <v>57</v>
      </c>
      <c r="BL756" s="25"/>
      <c r="BW756" s="25">
        <v>21</v>
      </c>
      <c r="BX756" s="5" t="s">
        <v>2272</v>
      </c>
    </row>
    <row r="757" spans="1:76" x14ac:dyDescent="0.25">
      <c r="A757" s="2" t="s">
        <v>555</v>
      </c>
      <c r="B757" s="3" t="s">
        <v>2273</v>
      </c>
      <c r="C757" s="93" t="s">
        <v>2195</v>
      </c>
      <c r="D757" s="94"/>
      <c r="E757" s="3" t="s">
        <v>52</v>
      </c>
      <c r="F757" s="25">
        <v>35</v>
      </c>
      <c r="G757" s="25">
        <v>0</v>
      </c>
      <c r="H757" s="25">
        <f t="shared" si="718"/>
        <v>0</v>
      </c>
      <c r="I757" s="25">
        <f t="shared" si="719"/>
        <v>0</v>
      </c>
      <c r="J757" s="25">
        <f t="shared" si="720"/>
        <v>0</v>
      </c>
      <c r="K757" s="26" t="s">
        <v>53</v>
      </c>
      <c r="Z757" s="25">
        <f t="shared" si="721"/>
        <v>0</v>
      </c>
      <c r="AB757" s="25">
        <f t="shared" si="722"/>
        <v>0</v>
      </c>
      <c r="AC757" s="25">
        <f t="shared" si="723"/>
        <v>0</v>
      </c>
      <c r="AD757" s="25">
        <f t="shared" si="724"/>
        <v>0</v>
      </c>
      <c r="AE757" s="25">
        <f t="shared" si="725"/>
        <v>0</v>
      </c>
      <c r="AF757" s="25">
        <f t="shared" si="726"/>
        <v>0</v>
      </c>
      <c r="AG757" s="25">
        <f t="shared" si="727"/>
        <v>0</v>
      </c>
      <c r="AH757" s="25">
        <f t="shared" si="728"/>
        <v>0</v>
      </c>
      <c r="AI757" s="11" t="s">
        <v>46</v>
      </c>
      <c r="AJ757" s="25">
        <f t="shared" si="729"/>
        <v>0</v>
      </c>
      <c r="AK757" s="25">
        <f t="shared" si="730"/>
        <v>0</v>
      </c>
      <c r="AL757" s="25">
        <f t="shared" si="731"/>
        <v>0</v>
      </c>
      <c r="AN757" s="25">
        <v>21</v>
      </c>
      <c r="AO757" s="25">
        <f>G757*0.569839431</f>
        <v>0</v>
      </c>
      <c r="AP757" s="25">
        <f>G757*(1-0.569839431)</f>
        <v>0</v>
      </c>
      <c r="AQ757" s="27" t="s">
        <v>58</v>
      </c>
      <c r="AV757" s="25">
        <f t="shared" si="732"/>
        <v>0</v>
      </c>
      <c r="AW757" s="25">
        <f t="shared" si="733"/>
        <v>0</v>
      </c>
      <c r="AX757" s="25">
        <f t="shared" si="734"/>
        <v>0</v>
      </c>
      <c r="AY757" s="27" t="s">
        <v>2246</v>
      </c>
      <c r="AZ757" s="27" t="s">
        <v>305</v>
      </c>
      <c r="BA757" s="11" t="s">
        <v>56</v>
      </c>
      <c r="BC757" s="25">
        <f t="shared" si="735"/>
        <v>0</v>
      </c>
      <c r="BD757" s="25">
        <f t="shared" si="736"/>
        <v>0</v>
      </c>
      <c r="BE757" s="25">
        <v>0</v>
      </c>
      <c r="BF757" s="25">
        <f>757</f>
        <v>757</v>
      </c>
      <c r="BH757" s="25">
        <f t="shared" si="737"/>
        <v>0</v>
      </c>
      <c r="BI757" s="25">
        <f t="shared" si="738"/>
        <v>0</v>
      </c>
      <c r="BJ757" s="25">
        <f t="shared" si="739"/>
        <v>0</v>
      </c>
      <c r="BK757" s="27" t="s">
        <v>57</v>
      </c>
      <c r="BL757" s="25"/>
      <c r="BW757" s="25">
        <v>21</v>
      </c>
      <c r="BX757" s="5" t="s">
        <v>2195</v>
      </c>
    </row>
    <row r="758" spans="1:76" x14ac:dyDescent="0.25">
      <c r="A758" s="2" t="s">
        <v>2274</v>
      </c>
      <c r="B758" s="3" t="s">
        <v>2275</v>
      </c>
      <c r="C758" s="93" t="s">
        <v>2276</v>
      </c>
      <c r="D758" s="94"/>
      <c r="E758" s="3" t="s">
        <v>131</v>
      </c>
      <c r="F758" s="25">
        <v>25</v>
      </c>
      <c r="G758" s="25">
        <v>0</v>
      </c>
      <c r="H758" s="25">
        <f t="shared" si="718"/>
        <v>0</v>
      </c>
      <c r="I758" s="25">
        <f t="shared" si="719"/>
        <v>0</v>
      </c>
      <c r="J758" s="25">
        <f t="shared" si="720"/>
        <v>0</v>
      </c>
      <c r="K758" s="26" t="s">
        <v>53</v>
      </c>
      <c r="Z758" s="25">
        <f t="shared" si="721"/>
        <v>0</v>
      </c>
      <c r="AB758" s="25">
        <f t="shared" si="722"/>
        <v>0</v>
      </c>
      <c r="AC758" s="25">
        <f t="shared" si="723"/>
        <v>0</v>
      </c>
      <c r="AD758" s="25">
        <f t="shared" si="724"/>
        <v>0</v>
      </c>
      <c r="AE758" s="25">
        <f t="shared" si="725"/>
        <v>0</v>
      </c>
      <c r="AF758" s="25">
        <f t="shared" si="726"/>
        <v>0</v>
      </c>
      <c r="AG758" s="25">
        <f t="shared" si="727"/>
        <v>0</v>
      </c>
      <c r="AH758" s="25">
        <f t="shared" si="728"/>
        <v>0</v>
      </c>
      <c r="AI758" s="11" t="s">
        <v>46</v>
      </c>
      <c r="AJ758" s="25">
        <f t="shared" si="729"/>
        <v>0</v>
      </c>
      <c r="AK758" s="25">
        <f t="shared" si="730"/>
        <v>0</v>
      </c>
      <c r="AL758" s="25">
        <f t="shared" si="731"/>
        <v>0</v>
      </c>
      <c r="AN758" s="25">
        <v>21</v>
      </c>
      <c r="AO758" s="25">
        <f>G758*0.569997053</f>
        <v>0</v>
      </c>
      <c r="AP758" s="25">
        <f>G758*(1-0.569997053)</f>
        <v>0</v>
      </c>
      <c r="AQ758" s="27" t="s">
        <v>58</v>
      </c>
      <c r="AV758" s="25">
        <f t="shared" si="732"/>
        <v>0</v>
      </c>
      <c r="AW758" s="25">
        <f t="shared" si="733"/>
        <v>0</v>
      </c>
      <c r="AX758" s="25">
        <f t="shared" si="734"/>
        <v>0</v>
      </c>
      <c r="AY758" s="27" t="s">
        <v>2246</v>
      </c>
      <c r="AZ758" s="27" t="s">
        <v>305</v>
      </c>
      <c r="BA758" s="11" t="s">
        <v>56</v>
      </c>
      <c r="BC758" s="25">
        <f t="shared" si="735"/>
        <v>0</v>
      </c>
      <c r="BD758" s="25">
        <f t="shared" si="736"/>
        <v>0</v>
      </c>
      <c r="BE758" s="25">
        <v>0</v>
      </c>
      <c r="BF758" s="25">
        <f>758</f>
        <v>758</v>
      </c>
      <c r="BH758" s="25">
        <f t="shared" si="737"/>
        <v>0</v>
      </c>
      <c r="BI758" s="25">
        <f t="shared" si="738"/>
        <v>0</v>
      </c>
      <c r="BJ758" s="25">
        <f t="shared" si="739"/>
        <v>0</v>
      </c>
      <c r="BK758" s="27" t="s">
        <v>57</v>
      </c>
      <c r="BL758" s="25"/>
      <c r="BW758" s="25">
        <v>21</v>
      </c>
      <c r="BX758" s="5" t="s">
        <v>2276</v>
      </c>
    </row>
    <row r="759" spans="1:76" x14ac:dyDescent="0.25">
      <c r="A759" s="2" t="s">
        <v>2277</v>
      </c>
      <c r="B759" s="3" t="s">
        <v>2278</v>
      </c>
      <c r="C759" s="93" t="s">
        <v>2279</v>
      </c>
      <c r="D759" s="94"/>
      <c r="E759" s="3" t="s">
        <v>131</v>
      </c>
      <c r="F759" s="25">
        <v>25</v>
      </c>
      <c r="G759" s="25">
        <v>0</v>
      </c>
      <c r="H759" s="25">
        <f t="shared" si="718"/>
        <v>0</v>
      </c>
      <c r="I759" s="25">
        <f t="shared" si="719"/>
        <v>0</v>
      </c>
      <c r="J759" s="25">
        <f t="shared" si="720"/>
        <v>0</v>
      </c>
      <c r="K759" s="26" t="s">
        <v>53</v>
      </c>
      <c r="Z759" s="25">
        <f t="shared" si="721"/>
        <v>0</v>
      </c>
      <c r="AB759" s="25">
        <f t="shared" si="722"/>
        <v>0</v>
      </c>
      <c r="AC759" s="25">
        <f t="shared" si="723"/>
        <v>0</v>
      </c>
      <c r="AD759" s="25">
        <f t="shared" si="724"/>
        <v>0</v>
      </c>
      <c r="AE759" s="25">
        <f t="shared" si="725"/>
        <v>0</v>
      </c>
      <c r="AF759" s="25">
        <f t="shared" si="726"/>
        <v>0</v>
      </c>
      <c r="AG759" s="25">
        <f t="shared" si="727"/>
        <v>0</v>
      </c>
      <c r="AH759" s="25">
        <f t="shared" si="728"/>
        <v>0</v>
      </c>
      <c r="AI759" s="11" t="s">
        <v>46</v>
      </c>
      <c r="AJ759" s="25">
        <f t="shared" si="729"/>
        <v>0</v>
      </c>
      <c r="AK759" s="25">
        <f t="shared" si="730"/>
        <v>0</v>
      </c>
      <c r="AL759" s="25">
        <f t="shared" si="731"/>
        <v>0</v>
      </c>
      <c r="AN759" s="25">
        <v>21</v>
      </c>
      <c r="AO759" s="25">
        <f>G759*0.569996153</f>
        <v>0</v>
      </c>
      <c r="AP759" s="25">
        <f>G759*(1-0.569996153)</f>
        <v>0</v>
      </c>
      <c r="AQ759" s="27" t="s">
        <v>58</v>
      </c>
      <c r="AV759" s="25">
        <f t="shared" si="732"/>
        <v>0</v>
      </c>
      <c r="AW759" s="25">
        <f t="shared" si="733"/>
        <v>0</v>
      </c>
      <c r="AX759" s="25">
        <f t="shared" si="734"/>
        <v>0</v>
      </c>
      <c r="AY759" s="27" t="s">
        <v>2246</v>
      </c>
      <c r="AZ759" s="27" t="s">
        <v>305</v>
      </c>
      <c r="BA759" s="11" t="s">
        <v>56</v>
      </c>
      <c r="BC759" s="25">
        <f t="shared" si="735"/>
        <v>0</v>
      </c>
      <c r="BD759" s="25">
        <f t="shared" si="736"/>
        <v>0</v>
      </c>
      <c r="BE759" s="25">
        <v>0</v>
      </c>
      <c r="BF759" s="25">
        <f>759</f>
        <v>759</v>
      </c>
      <c r="BH759" s="25">
        <f t="shared" si="737"/>
        <v>0</v>
      </c>
      <c r="BI759" s="25">
        <f t="shared" si="738"/>
        <v>0</v>
      </c>
      <c r="BJ759" s="25">
        <f t="shared" si="739"/>
        <v>0</v>
      </c>
      <c r="BK759" s="27" t="s">
        <v>57</v>
      </c>
      <c r="BL759" s="25"/>
      <c r="BW759" s="25">
        <v>21</v>
      </c>
      <c r="BX759" s="5" t="s">
        <v>2279</v>
      </c>
    </row>
    <row r="760" spans="1:76" x14ac:dyDescent="0.25">
      <c r="A760" s="2" t="s">
        <v>2280</v>
      </c>
      <c r="B760" s="3" t="s">
        <v>2281</v>
      </c>
      <c r="C760" s="93" t="s">
        <v>2282</v>
      </c>
      <c r="D760" s="94"/>
      <c r="E760" s="3" t="s">
        <v>52</v>
      </c>
      <c r="F760" s="25">
        <v>1</v>
      </c>
      <c r="G760" s="25">
        <v>0</v>
      </c>
      <c r="H760" s="25">
        <f t="shared" si="718"/>
        <v>0</v>
      </c>
      <c r="I760" s="25">
        <f t="shared" si="719"/>
        <v>0</v>
      </c>
      <c r="J760" s="25">
        <f t="shared" si="720"/>
        <v>0</v>
      </c>
      <c r="K760" s="26" t="s">
        <v>53</v>
      </c>
      <c r="Z760" s="25">
        <f t="shared" si="721"/>
        <v>0</v>
      </c>
      <c r="AB760" s="25">
        <f t="shared" si="722"/>
        <v>0</v>
      </c>
      <c r="AC760" s="25">
        <f t="shared" si="723"/>
        <v>0</v>
      </c>
      <c r="AD760" s="25">
        <f t="shared" si="724"/>
        <v>0</v>
      </c>
      <c r="AE760" s="25">
        <f t="shared" si="725"/>
        <v>0</v>
      </c>
      <c r="AF760" s="25">
        <f t="shared" si="726"/>
        <v>0</v>
      </c>
      <c r="AG760" s="25">
        <f t="shared" si="727"/>
        <v>0</v>
      </c>
      <c r="AH760" s="25">
        <f t="shared" si="728"/>
        <v>0</v>
      </c>
      <c r="AI760" s="11" t="s">
        <v>46</v>
      </c>
      <c r="AJ760" s="25">
        <f t="shared" si="729"/>
        <v>0</v>
      </c>
      <c r="AK760" s="25">
        <f t="shared" si="730"/>
        <v>0</v>
      </c>
      <c r="AL760" s="25">
        <f t="shared" si="731"/>
        <v>0</v>
      </c>
      <c r="AN760" s="25">
        <v>21</v>
      </c>
      <c r="AO760" s="25">
        <f>G760*0</f>
        <v>0</v>
      </c>
      <c r="AP760" s="25">
        <f>G760*(1-0)</f>
        <v>0</v>
      </c>
      <c r="AQ760" s="27" t="s">
        <v>58</v>
      </c>
      <c r="AV760" s="25">
        <f t="shared" si="732"/>
        <v>0</v>
      </c>
      <c r="AW760" s="25">
        <f t="shared" si="733"/>
        <v>0</v>
      </c>
      <c r="AX760" s="25">
        <f t="shared" si="734"/>
        <v>0</v>
      </c>
      <c r="AY760" s="27" t="s">
        <v>2246</v>
      </c>
      <c r="AZ760" s="27" t="s">
        <v>305</v>
      </c>
      <c r="BA760" s="11" t="s">
        <v>56</v>
      </c>
      <c r="BC760" s="25">
        <f t="shared" si="735"/>
        <v>0</v>
      </c>
      <c r="BD760" s="25">
        <f t="shared" si="736"/>
        <v>0</v>
      </c>
      <c r="BE760" s="25">
        <v>0</v>
      </c>
      <c r="BF760" s="25">
        <f>760</f>
        <v>760</v>
      </c>
      <c r="BH760" s="25">
        <f t="shared" si="737"/>
        <v>0</v>
      </c>
      <c r="BI760" s="25">
        <f t="shared" si="738"/>
        <v>0</v>
      </c>
      <c r="BJ760" s="25">
        <f t="shared" si="739"/>
        <v>0</v>
      </c>
      <c r="BK760" s="27" t="s">
        <v>57</v>
      </c>
      <c r="BL760" s="25"/>
      <c r="BW760" s="25">
        <v>21</v>
      </c>
      <c r="BX760" s="5" t="s">
        <v>2282</v>
      </c>
    </row>
    <row r="761" spans="1:76" x14ac:dyDescent="0.25">
      <c r="A761" s="2" t="s">
        <v>2283</v>
      </c>
      <c r="B761" s="3" t="s">
        <v>2284</v>
      </c>
      <c r="C761" s="93" t="s">
        <v>2285</v>
      </c>
      <c r="D761" s="94"/>
      <c r="E761" s="3" t="s">
        <v>52</v>
      </c>
      <c r="F761" s="25">
        <v>1</v>
      </c>
      <c r="G761" s="25">
        <v>0</v>
      </c>
      <c r="H761" s="25">
        <f t="shared" si="718"/>
        <v>0</v>
      </c>
      <c r="I761" s="25">
        <f t="shared" si="719"/>
        <v>0</v>
      </c>
      <c r="J761" s="25">
        <f t="shared" si="720"/>
        <v>0</v>
      </c>
      <c r="K761" s="26" t="s">
        <v>53</v>
      </c>
      <c r="Z761" s="25">
        <f t="shared" si="721"/>
        <v>0</v>
      </c>
      <c r="AB761" s="25">
        <f t="shared" si="722"/>
        <v>0</v>
      </c>
      <c r="AC761" s="25">
        <f t="shared" si="723"/>
        <v>0</v>
      </c>
      <c r="AD761" s="25">
        <f t="shared" si="724"/>
        <v>0</v>
      </c>
      <c r="AE761" s="25">
        <f t="shared" si="725"/>
        <v>0</v>
      </c>
      <c r="AF761" s="25">
        <f t="shared" si="726"/>
        <v>0</v>
      </c>
      <c r="AG761" s="25">
        <f t="shared" si="727"/>
        <v>0</v>
      </c>
      <c r="AH761" s="25">
        <f t="shared" si="728"/>
        <v>0</v>
      </c>
      <c r="AI761" s="11" t="s">
        <v>46</v>
      </c>
      <c r="AJ761" s="25">
        <f t="shared" si="729"/>
        <v>0</v>
      </c>
      <c r="AK761" s="25">
        <f t="shared" si="730"/>
        <v>0</v>
      </c>
      <c r="AL761" s="25">
        <f t="shared" si="731"/>
        <v>0</v>
      </c>
      <c r="AN761" s="25">
        <v>21</v>
      </c>
      <c r="AO761" s="25">
        <f>G761*0</f>
        <v>0</v>
      </c>
      <c r="AP761" s="25">
        <f>G761*(1-0)</f>
        <v>0</v>
      </c>
      <c r="AQ761" s="27" t="s">
        <v>58</v>
      </c>
      <c r="AV761" s="25">
        <f t="shared" si="732"/>
        <v>0</v>
      </c>
      <c r="AW761" s="25">
        <f t="shared" si="733"/>
        <v>0</v>
      </c>
      <c r="AX761" s="25">
        <f t="shared" si="734"/>
        <v>0</v>
      </c>
      <c r="AY761" s="27" t="s">
        <v>2246</v>
      </c>
      <c r="AZ761" s="27" t="s">
        <v>305</v>
      </c>
      <c r="BA761" s="11" t="s">
        <v>56</v>
      </c>
      <c r="BC761" s="25">
        <f t="shared" si="735"/>
        <v>0</v>
      </c>
      <c r="BD761" s="25">
        <f t="shared" si="736"/>
        <v>0</v>
      </c>
      <c r="BE761" s="25">
        <v>0</v>
      </c>
      <c r="BF761" s="25">
        <f>761</f>
        <v>761</v>
      </c>
      <c r="BH761" s="25">
        <f t="shared" si="737"/>
        <v>0</v>
      </c>
      <c r="BI761" s="25">
        <f t="shared" si="738"/>
        <v>0</v>
      </c>
      <c r="BJ761" s="25">
        <f t="shared" si="739"/>
        <v>0</v>
      </c>
      <c r="BK761" s="27" t="s">
        <v>57</v>
      </c>
      <c r="BL761" s="25"/>
      <c r="BW761" s="25">
        <v>21</v>
      </c>
      <c r="BX761" s="5" t="s">
        <v>2285</v>
      </c>
    </row>
    <row r="762" spans="1:76" x14ac:dyDescent="0.25">
      <c r="A762" s="2" t="s">
        <v>2286</v>
      </c>
      <c r="B762" s="3" t="s">
        <v>2287</v>
      </c>
      <c r="C762" s="93" t="s">
        <v>2288</v>
      </c>
      <c r="D762" s="94"/>
      <c r="E762" s="3" t="s">
        <v>52</v>
      </c>
      <c r="F762" s="25">
        <v>1</v>
      </c>
      <c r="G762" s="25">
        <v>0</v>
      </c>
      <c r="H762" s="25">
        <f t="shared" si="718"/>
        <v>0</v>
      </c>
      <c r="I762" s="25">
        <f t="shared" si="719"/>
        <v>0</v>
      </c>
      <c r="J762" s="25">
        <f t="shared" si="720"/>
        <v>0</v>
      </c>
      <c r="K762" s="26" t="s">
        <v>53</v>
      </c>
      <c r="Z762" s="25">
        <f t="shared" si="721"/>
        <v>0</v>
      </c>
      <c r="AB762" s="25">
        <f t="shared" si="722"/>
        <v>0</v>
      </c>
      <c r="AC762" s="25">
        <f t="shared" si="723"/>
        <v>0</v>
      </c>
      <c r="AD762" s="25">
        <f t="shared" si="724"/>
        <v>0</v>
      </c>
      <c r="AE762" s="25">
        <f t="shared" si="725"/>
        <v>0</v>
      </c>
      <c r="AF762" s="25">
        <f t="shared" si="726"/>
        <v>0</v>
      </c>
      <c r="AG762" s="25">
        <f t="shared" si="727"/>
        <v>0</v>
      </c>
      <c r="AH762" s="25">
        <f t="shared" si="728"/>
        <v>0</v>
      </c>
      <c r="AI762" s="11" t="s">
        <v>46</v>
      </c>
      <c r="AJ762" s="25">
        <f t="shared" si="729"/>
        <v>0</v>
      </c>
      <c r="AK762" s="25">
        <f t="shared" si="730"/>
        <v>0</v>
      </c>
      <c r="AL762" s="25">
        <f t="shared" si="731"/>
        <v>0</v>
      </c>
      <c r="AN762" s="25">
        <v>21</v>
      </c>
      <c r="AO762" s="25">
        <f>G762*0</f>
        <v>0</v>
      </c>
      <c r="AP762" s="25">
        <f>G762*(1-0)</f>
        <v>0</v>
      </c>
      <c r="AQ762" s="27" t="s">
        <v>58</v>
      </c>
      <c r="AV762" s="25">
        <f t="shared" si="732"/>
        <v>0</v>
      </c>
      <c r="AW762" s="25">
        <f t="shared" si="733"/>
        <v>0</v>
      </c>
      <c r="AX762" s="25">
        <f t="shared" si="734"/>
        <v>0</v>
      </c>
      <c r="AY762" s="27" t="s">
        <v>2246</v>
      </c>
      <c r="AZ762" s="27" t="s">
        <v>305</v>
      </c>
      <c r="BA762" s="11" t="s">
        <v>56</v>
      </c>
      <c r="BC762" s="25">
        <f t="shared" si="735"/>
        <v>0</v>
      </c>
      <c r="BD762" s="25">
        <f t="shared" si="736"/>
        <v>0</v>
      </c>
      <c r="BE762" s="25">
        <v>0</v>
      </c>
      <c r="BF762" s="25">
        <f>762</f>
        <v>762</v>
      </c>
      <c r="BH762" s="25">
        <f t="shared" si="737"/>
        <v>0</v>
      </c>
      <c r="BI762" s="25">
        <f t="shared" si="738"/>
        <v>0</v>
      </c>
      <c r="BJ762" s="25">
        <f t="shared" si="739"/>
        <v>0</v>
      </c>
      <c r="BK762" s="27" t="s">
        <v>57</v>
      </c>
      <c r="BL762" s="25"/>
      <c r="BW762" s="25">
        <v>21</v>
      </c>
      <c r="BX762" s="5" t="s">
        <v>2288</v>
      </c>
    </row>
    <row r="763" spans="1:76" x14ac:dyDescent="0.25">
      <c r="A763" s="2" t="s">
        <v>2289</v>
      </c>
      <c r="B763" s="3" t="s">
        <v>2290</v>
      </c>
      <c r="C763" s="93" t="s">
        <v>2291</v>
      </c>
      <c r="D763" s="94"/>
      <c r="E763" s="3" t="s">
        <v>52</v>
      </c>
      <c r="F763" s="25">
        <v>1</v>
      </c>
      <c r="G763" s="25">
        <v>0</v>
      </c>
      <c r="H763" s="25">
        <f t="shared" si="718"/>
        <v>0</v>
      </c>
      <c r="I763" s="25">
        <f t="shared" si="719"/>
        <v>0</v>
      </c>
      <c r="J763" s="25">
        <f t="shared" si="720"/>
        <v>0</v>
      </c>
      <c r="K763" s="26" t="s">
        <v>53</v>
      </c>
      <c r="Z763" s="25">
        <f t="shared" si="721"/>
        <v>0</v>
      </c>
      <c r="AB763" s="25">
        <f t="shared" si="722"/>
        <v>0</v>
      </c>
      <c r="AC763" s="25">
        <f t="shared" si="723"/>
        <v>0</v>
      </c>
      <c r="AD763" s="25">
        <f t="shared" si="724"/>
        <v>0</v>
      </c>
      <c r="AE763" s="25">
        <f t="shared" si="725"/>
        <v>0</v>
      </c>
      <c r="AF763" s="25">
        <f t="shared" si="726"/>
        <v>0</v>
      </c>
      <c r="AG763" s="25">
        <f t="shared" si="727"/>
        <v>0</v>
      </c>
      <c r="AH763" s="25">
        <f t="shared" si="728"/>
        <v>0</v>
      </c>
      <c r="AI763" s="11" t="s">
        <v>46</v>
      </c>
      <c r="AJ763" s="25">
        <f t="shared" si="729"/>
        <v>0</v>
      </c>
      <c r="AK763" s="25">
        <f t="shared" si="730"/>
        <v>0</v>
      </c>
      <c r="AL763" s="25">
        <f t="shared" si="731"/>
        <v>0</v>
      </c>
      <c r="AN763" s="25">
        <v>21</v>
      </c>
      <c r="AO763" s="25">
        <f>G763*0</f>
        <v>0</v>
      </c>
      <c r="AP763" s="25">
        <f>G763*(1-0)</f>
        <v>0</v>
      </c>
      <c r="AQ763" s="27" t="s">
        <v>58</v>
      </c>
      <c r="AV763" s="25">
        <f t="shared" si="732"/>
        <v>0</v>
      </c>
      <c r="AW763" s="25">
        <f t="shared" si="733"/>
        <v>0</v>
      </c>
      <c r="AX763" s="25">
        <f t="shared" si="734"/>
        <v>0</v>
      </c>
      <c r="AY763" s="27" t="s">
        <v>2246</v>
      </c>
      <c r="AZ763" s="27" t="s">
        <v>305</v>
      </c>
      <c r="BA763" s="11" t="s">
        <v>56</v>
      </c>
      <c r="BC763" s="25">
        <f t="shared" si="735"/>
        <v>0</v>
      </c>
      <c r="BD763" s="25">
        <f t="shared" si="736"/>
        <v>0</v>
      </c>
      <c r="BE763" s="25">
        <v>0</v>
      </c>
      <c r="BF763" s="25">
        <f>763</f>
        <v>763</v>
      </c>
      <c r="BH763" s="25">
        <f t="shared" si="737"/>
        <v>0</v>
      </c>
      <c r="BI763" s="25">
        <f t="shared" si="738"/>
        <v>0</v>
      </c>
      <c r="BJ763" s="25">
        <f t="shared" si="739"/>
        <v>0</v>
      </c>
      <c r="BK763" s="27" t="s">
        <v>57</v>
      </c>
      <c r="BL763" s="25"/>
      <c r="BW763" s="25">
        <v>21</v>
      </c>
      <c r="BX763" s="5" t="s">
        <v>2291</v>
      </c>
    </row>
    <row r="764" spans="1:76" x14ac:dyDescent="0.25">
      <c r="A764" s="2" t="s">
        <v>2292</v>
      </c>
      <c r="B764" s="3" t="s">
        <v>2293</v>
      </c>
      <c r="C764" s="93" t="s">
        <v>2237</v>
      </c>
      <c r="D764" s="94"/>
      <c r="E764" s="3" t="s">
        <v>52</v>
      </c>
      <c r="F764" s="25">
        <v>1</v>
      </c>
      <c r="G764" s="25">
        <v>0</v>
      </c>
      <c r="H764" s="25">
        <f t="shared" si="718"/>
        <v>0</v>
      </c>
      <c r="I764" s="25">
        <f t="shared" si="719"/>
        <v>0</v>
      </c>
      <c r="J764" s="25">
        <f t="shared" si="720"/>
        <v>0</v>
      </c>
      <c r="K764" s="26" t="s">
        <v>53</v>
      </c>
      <c r="Z764" s="25">
        <f t="shared" si="721"/>
        <v>0</v>
      </c>
      <c r="AB764" s="25">
        <f t="shared" si="722"/>
        <v>0</v>
      </c>
      <c r="AC764" s="25">
        <f t="shared" si="723"/>
        <v>0</v>
      </c>
      <c r="AD764" s="25">
        <f t="shared" si="724"/>
        <v>0</v>
      </c>
      <c r="AE764" s="25">
        <f t="shared" si="725"/>
        <v>0</v>
      </c>
      <c r="AF764" s="25">
        <f t="shared" si="726"/>
        <v>0</v>
      </c>
      <c r="AG764" s="25">
        <f t="shared" si="727"/>
        <v>0</v>
      </c>
      <c r="AH764" s="25">
        <f t="shared" si="728"/>
        <v>0</v>
      </c>
      <c r="AI764" s="11" t="s">
        <v>46</v>
      </c>
      <c r="AJ764" s="25">
        <f t="shared" si="729"/>
        <v>0</v>
      </c>
      <c r="AK764" s="25">
        <f t="shared" si="730"/>
        <v>0</v>
      </c>
      <c r="AL764" s="25">
        <f t="shared" si="731"/>
        <v>0</v>
      </c>
      <c r="AN764" s="25">
        <v>21</v>
      </c>
      <c r="AO764" s="25">
        <f>G764*0</f>
        <v>0</v>
      </c>
      <c r="AP764" s="25">
        <f>G764*(1-0)</f>
        <v>0</v>
      </c>
      <c r="AQ764" s="27" t="s">
        <v>58</v>
      </c>
      <c r="AV764" s="25">
        <f t="shared" si="732"/>
        <v>0</v>
      </c>
      <c r="AW764" s="25">
        <f t="shared" si="733"/>
        <v>0</v>
      </c>
      <c r="AX764" s="25">
        <f t="shared" si="734"/>
        <v>0</v>
      </c>
      <c r="AY764" s="27" t="s">
        <v>2246</v>
      </c>
      <c r="AZ764" s="27" t="s">
        <v>305</v>
      </c>
      <c r="BA764" s="11" t="s">
        <v>56</v>
      </c>
      <c r="BC764" s="25">
        <f t="shared" si="735"/>
        <v>0</v>
      </c>
      <c r="BD764" s="25">
        <f t="shared" si="736"/>
        <v>0</v>
      </c>
      <c r="BE764" s="25">
        <v>0</v>
      </c>
      <c r="BF764" s="25">
        <f>764</f>
        <v>764</v>
      </c>
      <c r="BH764" s="25">
        <f t="shared" si="737"/>
        <v>0</v>
      </c>
      <c r="BI764" s="25">
        <f t="shared" si="738"/>
        <v>0</v>
      </c>
      <c r="BJ764" s="25">
        <f t="shared" si="739"/>
        <v>0</v>
      </c>
      <c r="BK764" s="27" t="s">
        <v>57</v>
      </c>
      <c r="BL764" s="25"/>
      <c r="BW764" s="25">
        <v>21</v>
      </c>
      <c r="BX764" s="5" t="s">
        <v>2237</v>
      </c>
    </row>
    <row r="765" spans="1:76" x14ac:dyDescent="0.25">
      <c r="A765" s="2" t="s">
        <v>579</v>
      </c>
      <c r="B765" s="3" t="s">
        <v>2294</v>
      </c>
      <c r="C765" s="93" t="s">
        <v>2240</v>
      </c>
      <c r="D765" s="94"/>
      <c r="E765" s="3" t="s">
        <v>52</v>
      </c>
      <c r="F765" s="25">
        <v>1</v>
      </c>
      <c r="G765" s="25">
        <v>0</v>
      </c>
      <c r="H765" s="25">
        <f t="shared" si="718"/>
        <v>0</v>
      </c>
      <c r="I765" s="25">
        <f t="shared" si="719"/>
        <v>0</v>
      </c>
      <c r="J765" s="25">
        <f t="shared" si="720"/>
        <v>0</v>
      </c>
      <c r="K765" s="26" t="s">
        <v>53</v>
      </c>
      <c r="Z765" s="25">
        <f t="shared" si="721"/>
        <v>0</v>
      </c>
      <c r="AB765" s="25">
        <f t="shared" si="722"/>
        <v>0</v>
      </c>
      <c r="AC765" s="25">
        <f t="shared" si="723"/>
        <v>0</v>
      </c>
      <c r="AD765" s="25">
        <f t="shared" si="724"/>
        <v>0</v>
      </c>
      <c r="AE765" s="25">
        <f t="shared" si="725"/>
        <v>0</v>
      </c>
      <c r="AF765" s="25">
        <f t="shared" si="726"/>
        <v>0</v>
      </c>
      <c r="AG765" s="25">
        <f t="shared" si="727"/>
        <v>0</v>
      </c>
      <c r="AH765" s="25">
        <f t="shared" si="728"/>
        <v>0</v>
      </c>
      <c r="AI765" s="11" t="s">
        <v>46</v>
      </c>
      <c r="AJ765" s="25">
        <f t="shared" si="729"/>
        <v>0</v>
      </c>
      <c r="AK765" s="25">
        <f t="shared" si="730"/>
        <v>0</v>
      </c>
      <c r="AL765" s="25">
        <f t="shared" si="731"/>
        <v>0</v>
      </c>
      <c r="AN765" s="25">
        <v>21</v>
      </c>
      <c r="AO765" s="25">
        <f>G765*1</f>
        <v>0</v>
      </c>
      <c r="AP765" s="25">
        <f>G765*(1-1)</f>
        <v>0</v>
      </c>
      <c r="AQ765" s="27" t="s">
        <v>58</v>
      </c>
      <c r="AV765" s="25">
        <f t="shared" si="732"/>
        <v>0</v>
      </c>
      <c r="AW765" s="25">
        <f t="shared" si="733"/>
        <v>0</v>
      </c>
      <c r="AX765" s="25">
        <f t="shared" si="734"/>
        <v>0</v>
      </c>
      <c r="AY765" s="27" t="s">
        <v>2246</v>
      </c>
      <c r="AZ765" s="27" t="s">
        <v>305</v>
      </c>
      <c r="BA765" s="11" t="s">
        <v>56</v>
      </c>
      <c r="BC765" s="25">
        <f t="shared" si="735"/>
        <v>0</v>
      </c>
      <c r="BD765" s="25">
        <f t="shared" si="736"/>
        <v>0</v>
      </c>
      <c r="BE765" s="25">
        <v>0</v>
      </c>
      <c r="BF765" s="25">
        <f>765</f>
        <v>765</v>
      </c>
      <c r="BH765" s="25">
        <f t="shared" si="737"/>
        <v>0</v>
      </c>
      <c r="BI765" s="25">
        <f t="shared" si="738"/>
        <v>0</v>
      </c>
      <c r="BJ765" s="25">
        <f t="shared" si="739"/>
        <v>0</v>
      </c>
      <c r="BK765" s="27" t="s">
        <v>57</v>
      </c>
      <c r="BL765" s="25"/>
      <c r="BW765" s="25">
        <v>21</v>
      </c>
      <c r="BX765" s="5" t="s">
        <v>2240</v>
      </c>
    </row>
    <row r="766" spans="1:76" x14ac:dyDescent="0.25">
      <c r="A766" s="28" t="s">
        <v>46</v>
      </c>
      <c r="B766" s="29" t="s">
        <v>2295</v>
      </c>
      <c r="C766" s="150" t="s">
        <v>2296</v>
      </c>
      <c r="D766" s="151"/>
      <c r="E766" s="30" t="s">
        <v>4</v>
      </c>
      <c r="F766" s="30" t="s">
        <v>4</v>
      </c>
      <c r="G766" s="30" t="s">
        <v>4</v>
      </c>
      <c r="H766" s="1">
        <f>ROUND(SUM(H767:H785),1)</f>
        <v>0</v>
      </c>
      <c r="I766" s="1">
        <f>ROUND(SUM(I767:I785),1)</f>
        <v>0</v>
      </c>
      <c r="J766" s="1">
        <f>ROUND(SUM(J767:J785),1)</f>
        <v>0</v>
      </c>
      <c r="K766" s="31" t="s">
        <v>46</v>
      </c>
      <c r="AI766" s="11" t="s">
        <v>46</v>
      </c>
      <c r="AS766" s="1">
        <f>SUM(AJ767:AJ785)</f>
        <v>0</v>
      </c>
      <c r="AT766" s="1">
        <f>SUM(AK767:AK785)</f>
        <v>0</v>
      </c>
      <c r="AU766" s="1">
        <f>SUM(AL767:AL785)</f>
        <v>0</v>
      </c>
    </row>
    <row r="767" spans="1:76" x14ac:dyDescent="0.25">
      <c r="A767" s="2" t="s">
        <v>836</v>
      </c>
      <c r="B767" s="3" t="s">
        <v>2297</v>
      </c>
      <c r="C767" s="93" t="s">
        <v>2298</v>
      </c>
      <c r="D767" s="94"/>
      <c r="E767" s="3" t="s">
        <v>52</v>
      </c>
      <c r="F767" s="25">
        <v>1</v>
      </c>
      <c r="G767" s="25">
        <v>0</v>
      </c>
      <c r="H767" s="25">
        <f t="shared" ref="H767:H785" si="740">ROUND(F767*AO767,2)</f>
        <v>0</v>
      </c>
      <c r="I767" s="25">
        <f t="shared" ref="I767:I785" si="741">ROUND(F767*AP767,2)</f>
        <v>0</v>
      </c>
      <c r="J767" s="25">
        <f t="shared" ref="J767:J785" si="742">ROUND(F767*G767,1)</f>
        <v>0</v>
      </c>
      <c r="K767" s="26" t="s">
        <v>53</v>
      </c>
      <c r="Z767" s="25">
        <f t="shared" ref="Z767:Z785" si="743">ROUND(IF(AQ767="5",BJ767,0),2)</f>
        <v>0</v>
      </c>
      <c r="AB767" s="25">
        <f t="shared" ref="AB767:AB785" si="744">ROUND(IF(AQ767="1",BH767,0),2)</f>
        <v>0</v>
      </c>
      <c r="AC767" s="25">
        <f t="shared" ref="AC767:AC785" si="745">ROUND(IF(AQ767="1",BI767,0),2)</f>
        <v>0</v>
      </c>
      <c r="AD767" s="25">
        <f t="shared" ref="AD767:AD785" si="746">ROUND(IF(AQ767="7",BH767,0),2)</f>
        <v>0</v>
      </c>
      <c r="AE767" s="25">
        <f t="shared" ref="AE767:AE785" si="747">ROUND(IF(AQ767="7",BI767,0),2)</f>
        <v>0</v>
      </c>
      <c r="AF767" s="25">
        <f t="shared" ref="AF767:AF785" si="748">ROUND(IF(AQ767="2",BH767,0),2)</f>
        <v>0</v>
      </c>
      <c r="AG767" s="25">
        <f t="shared" ref="AG767:AG785" si="749">ROUND(IF(AQ767="2",BI767,0),2)</f>
        <v>0</v>
      </c>
      <c r="AH767" s="25">
        <f t="shared" ref="AH767:AH785" si="750">ROUND(IF(AQ767="0",BJ767,0),2)</f>
        <v>0</v>
      </c>
      <c r="AI767" s="11" t="s">
        <v>46</v>
      </c>
      <c r="AJ767" s="25">
        <f t="shared" ref="AJ767:AJ785" si="751">IF(AN767=0,J767,0)</f>
        <v>0</v>
      </c>
      <c r="AK767" s="25">
        <f t="shared" ref="AK767:AK785" si="752">IF(AN767=12,J767,0)</f>
        <v>0</v>
      </c>
      <c r="AL767" s="25">
        <f t="shared" ref="AL767:AL785" si="753">IF(AN767=21,J767,0)</f>
        <v>0</v>
      </c>
      <c r="AN767" s="25">
        <v>21</v>
      </c>
      <c r="AO767" s="25">
        <f>G767*0.570001378</f>
        <v>0</v>
      </c>
      <c r="AP767" s="25">
        <f>G767*(1-0.570001378)</f>
        <v>0</v>
      </c>
      <c r="AQ767" s="27" t="s">
        <v>58</v>
      </c>
      <c r="AV767" s="25">
        <f t="shared" ref="AV767:AV785" si="754">ROUND(AW767+AX767,2)</f>
        <v>0</v>
      </c>
      <c r="AW767" s="25">
        <f t="shared" ref="AW767:AW785" si="755">ROUND(F767*AO767,2)</f>
        <v>0</v>
      </c>
      <c r="AX767" s="25">
        <f t="shared" ref="AX767:AX785" si="756">ROUND(F767*AP767,2)</f>
        <v>0</v>
      </c>
      <c r="AY767" s="27" t="s">
        <v>2299</v>
      </c>
      <c r="AZ767" s="27" t="s">
        <v>305</v>
      </c>
      <c r="BA767" s="11" t="s">
        <v>56</v>
      </c>
      <c r="BC767" s="25">
        <f t="shared" ref="BC767:BC785" si="757">AW767+AX767</f>
        <v>0</v>
      </c>
      <c r="BD767" s="25">
        <f t="shared" ref="BD767:BD785" si="758">G767/(100-BE767)*100</f>
        <v>0</v>
      </c>
      <c r="BE767" s="25">
        <v>0</v>
      </c>
      <c r="BF767" s="25">
        <f>767</f>
        <v>767</v>
      </c>
      <c r="BH767" s="25">
        <f t="shared" ref="BH767:BH785" si="759">F767*AO767</f>
        <v>0</v>
      </c>
      <c r="BI767" s="25">
        <f t="shared" ref="BI767:BI785" si="760">F767*AP767</f>
        <v>0</v>
      </c>
      <c r="BJ767" s="25">
        <f t="shared" ref="BJ767:BJ785" si="761">F767*G767</f>
        <v>0</v>
      </c>
      <c r="BK767" s="27" t="s">
        <v>57</v>
      </c>
      <c r="BL767" s="25"/>
      <c r="BW767" s="25">
        <v>21</v>
      </c>
      <c r="BX767" s="5" t="s">
        <v>2298</v>
      </c>
    </row>
    <row r="768" spans="1:76" x14ac:dyDescent="0.25">
      <c r="A768" s="2" t="s">
        <v>2300</v>
      </c>
      <c r="B768" s="3" t="s">
        <v>2301</v>
      </c>
      <c r="C768" s="93" t="s">
        <v>2302</v>
      </c>
      <c r="D768" s="94"/>
      <c r="E768" s="3" t="s">
        <v>52</v>
      </c>
      <c r="F768" s="25">
        <v>4</v>
      </c>
      <c r="G768" s="25">
        <v>0</v>
      </c>
      <c r="H768" s="25">
        <f t="shared" si="740"/>
        <v>0</v>
      </c>
      <c r="I768" s="25">
        <f t="shared" si="741"/>
        <v>0</v>
      </c>
      <c r="J768" s="25">
        <f t="shared" si="742"/>
        <v>0</v>
      </c>
      <c r="K768" s="26" t="s">
        <v>53</v>
      </c>
      <c r="Z768" s="25">
        <f t="shared" si="743"/>
        <v>0</v>
      </c>
      <c r="AB768" s="25">
        <f t="shared" si="744"/>
        <v>0</v>
      </c>
      <c r="AC768" s="25">
        <f t="shared" si="745"/>
        <v>0</v>
      </c>
      <c r="AD768" s="25">
        <f t="shared" si="746"/>
        <v>0</v>
      </c>
      <c r="AE768" s="25">
        <f t="shared" si="747"/>
        <v>0</v>
      </c>
      <c r="AF768" s="25">
        <f t="shared" si="748"/>
        <v>0</v>
      </c>
      <c r="AG768" s="25">
        <f t="shared" si="749"/>
        <v>0</v>
      </c>
      <c r="AH768" s="25">
        <f t="shared" si="750"/>
        <v>0</v>
      </c>
      <c r="AI768" s="11" t="s">
        <v>46</v>
      </c>
      <c r="AJ768" s="25">
        <f t="shared" si="751"/>
        <v>0</v>
      </c>
      <c r="AK768" s="25">
        <f t="shared" si="752"/>
        <v>0</v>
      </c>
      <c r="AL768" s="25">
        <f t="shared" si="753"/>
        <v>0</v>
      </c>
      <c r="AN768" s="25">
        <v>21</v>
      </c>
      <c r="AO768" s="25">
        <f>G768*0.57</f>
        <v>0</v>
      </c>
      <c r="AP768" s="25">
        <f>G768*(1-0.57)</f>
        <v>0</v>
      </c>
      <c r="AQ768" s="27" t="s">
        <v>58</v>
      </c>
      <c r="AV768" s="25">
        <f t="shared" si="754"/>
        <v>0</v>
      </c>
      <c r="AW768" s="25">
        <f t="shared" si="755"/>
        <v>0</v>
      </c>
      <c r="AX768" s="25">
        <f t="shared" si="756"/>
        <v>0</v>
      </c>
      <c r="AY768" s="27" t="s">
        <v>2299</v>
      </c>
      <c r="AZ768" s="27" t="s">
        <v>305</v>
      </c>
      <c r="BA768" s="11" t="s">
        <v>56</v>
      </c>
      <c r="BC768" s="25">
        <f t="shared" si="757"/>
        <v>0</v>
      </c>
      <c r="BD768" s="25">
        <f t="shared" si="758"/>
        <v>0</v>
      </c>
      <c r="BE768" s="25">
        <v>0</v>
      </c>
      <c r="BF768" s="25">
        <f>768</f>
        <v>768</v>
      </c>
      <c r="BH768" s="25">
        <f t="shared" si="759"/>
        <v>0</v>
      </c>
      <c r="BI768" s="25">
        <f t="shared" si="760"/>
        <v>0</v>
      </c>
      <c r="BJ768" s="25">
        <f t="shared" si="761"/>
        <v>0</v>
      </c>
      <c r="BK768" s="27" t="s">
        <v>57</v>
      </c>
      <c r="BL768" s="25"/>
      <c r="BW768" s="25">
        <v>21</v>
      </c>
      <c r="BX768" s="5" t="s">
        <v>2302</v>
      </c>
    </row>
    <row r="769" spans="1:76" x14ac:dyDescent="0.25">
      <c r="A769" s="2" t="s">
        <v>2303</v>
      </c>
      <c r="B769" s="3" t="s">
        <v>2304</v>
      </c>
      <c r="C769" s="93" t="s">
        <v>2305</v>
      </c>
      <c r="D769" s="94"/>
      <c r="E769" s="3" t="s">
        <v>52</v>
      </c>
      <c r="F769" s="25">
        <v>2</v>
      </c>
      <c r="G769" s="25">
        <v>0</v>
      </c>
      <c r="H769" s="25">
        <f t="shared" si="740"/>
        <v>0</v>
      </c>
      <c r="I769" s="25">
        <f t="shared" si="741"/>
        <v>0</v>
      </c>
      <c r="J769" s="25">
        <f t="shared" si="742"/>
        <v>0</v>
      </c>
      <c r="K769" s="26" t="s">
        <v>53</v>
      </c>
      <c r="Z769" s="25">
        <f t="shared" si="743"/>
        <v>0</v>
      </c>
      <c r="AB769" s="25">
        <f t="shared" si="744"/>
        <v>0</v>
      </c>
      <c r="AC769" s="25">
        <f t="shared" si="745"/>
        <v>0</v>
      </c>
      <c r="AD769" s="25">
        <f t="shared" si="746"/>
        <v>0</v>
      </c>
      <c r="AE769" s="25">
        <f t="shared" si="747"/>
        <v>0</v>
      </c>
      <c r="AF769" s="25">
        <f t="shared" si="748"/>
        <v>0</v>
      </c>
      <c r="AG769" s="25">
        <f t="shared" si="749"/>
        <v>0</v>
      </c>
      <c r="AH769" s="25">
        <f t="shared" si="750"/>
        <v>0</v>
      </c>
      <c r="AI769" s="11" t="s">
        <v>46</v>
      </c>
      <c r="AJ769" s="25">
        <f t="shared" si="751"/>
        <v>0</v>
      </c>
      <c r="AK769" s="25">
        <f t="shared" si="752"/>
        <v>0</v>
      </c>
      <c r="AL769" s="25">
        <f t="shared" si="753"/>
        <v>0</v>
      </c>
      <c r="AN769" s="25">
        <v>21</v>
      </c>
      <c r="AO769" s="25">
        <f>G769*0.570007639</f>
        <v>0</v>
      </c>
      <c r="AP769" s="25">
        <f>G769*(1-0.570007639)</f>
        <v>0</v>
      </c>
      <c r="AQ769" s="27" t="s">
        <v>58</v>
      </c>
      <c r="AV769" s="25">
        <f t="shared" si="754"/>
        <v>0</v>
      </c>
      <c r="AW769" s="25">
        <f t="shared" si="755"/>
        <v>0</v>
      </c>
      <c r="AX769" s="25">
        <f t="shared" si="756"/>
        <v>0</v>
      </c>
      <c r="AY769" s="27" t="s">
        <v>2299</v>
      </c>
      <c r="AZ769" s="27" t="s">
        <v>305</v>
      </c>
      <c r="BA769" s="11" t="s">
        <v>56</v>
      </c>
      <c r="BC769" s="25">
        <f t="shared" si="757"/>
        <v>0</v>
      </c>
      <c r="BD769" s="25">
        <f t="shared" si="758"/>
        <v>0</v>
      </c>
      <c r="BE769" s="25">
        <v>0</v>
      </c>
      <c r="BF769" s="25">
        <f>769</f>
        <v>769</v>
      </c>
      <c r="BH769" s="25">
        <f t="shared" si="759"/>
        <v>0</v>
      </c>
      <c r="BI769" s="25">
        <f t="shared" si="760"/>
        <v>0</v>
      </c>
      <c r="BJ769" s="25">
        <f t="shared" si="761"/>
        <v>0</v>
      </c>
      <c r="BK769" s="27" t="s">
        <v>57</v>
      </c>
      <c r="BL769" s="25"/>
      <c r="BW769" s="25">
        <v>21</v>
      </c>
      <c r="BX769" s="5" t="s">
        <v>2305</v>
      </c>
    </row>
    <row r="770" spans="1:76" x14ac:dyDescent="0.25">
      <c r="A770" s="2" t="s">
        <v>2306</v>
      </c>
      <c r="B770" s="3" t="s">
        <v>2307</v>
      </c>
      <c r="C770" s="93" t="s">
        <v>2308</v>
      </c>
      <c r="D770" s="94"/>
      <c r="E770" s="3" t="s">
        <v>52</v>
      </c>
      <c r="F770" s="25">
        <v>1</v>
      </c>
      <c r="G770" s="25">
        <v>0</v>
      </c>
      <c r="H770" s="25">
        <f t="shared" si="740"/>
        <v>0</v>
      </c>
      <c r="I770" s="25">
        <f t="shared" si="741"/>
        <v>0</v>
      </c>
      <c r="J770" s="25">
        <f t="shared" si="742"/>
        <v>0</v>
      </c>
      <c r="K770" s="26" t="s">
        <v>53</v>
      </c>
      <c r="Z770" s="25">
        <f t="shared" si="743"/>
        <v>0</v>
      </c>
      <c r="AB770" s="25">
        <f t="shared" si="744"/>
        <v>0</v>
      </c>
      <c r="AC770" s="25">
        <f t="shared" si="745"/>
        <v>0</v>
      </c>
      <c r="AD770" s="25">
        <f t="shared" si="746"/>
        <v>0</v>
      </c>
      <c r="AE770" s="25">
        <f t="shared" si="747"/>
        <v>0</v>
      </c>
      <c r="AF770" s="25">
        <f t="shared" si="748"/>
        <v>0</v>
      </c>
      <c r="AG770" s="25">
        <f t="shared" si="749"/>
        <v>0</v>
      </c>
      <c r="AH770" s="25">
        <f t="shared" si="750"/>
        <v>0</v>
      </c>
      <c r="AI770" s="11" t="s">
        <v>46</v>
      </c>
      <c r="AJ770" s="25">
        <f t="shared" si="751"/>
        <v>0</v>
      </c>
      <c r="AK770" s="25">
        <f t="shared" si="752"/>
        <v>0</v>
      </c>
      <c r="AL770" s="25">
        <f t="shared" si="753"/>
        <v>0</v>
      </c>
      <c r="AN770" s="25">
        <v>21</v>
      </c>
      <c r="AO770" s="25">
        <f>G770*0.57</f>
        <v>0</v>
      </c>
      <c r="AP770" s="25">
        <f>G770*(1-0.57)</f>
        <v>0</v>
      </c>
      <c r="AQ770" s="27" t="s">
        <v>58</v>
      </c>
      <c r="AV770" s="25">
        <f t="shared" si="754"/>
        <v>0</v>
      </c>
      <c r="AW770" s="25">
        <f t="shared" si="755"/>
        <v>0</v>
      </c>
      <c r="AX770" s="25">
        <f t="shared" si="756"/>
        <v>0</v>
      </c>
      <c r="AY770" s="27" t="s">
        <v>2299</v>
      </c>
      <c r="AZ770" s="27" t="s">
        <v>305</v>
      </c>
      <c r="BA770" s="11" t="s">
        <v>56</v>
      </c>
      <c r="BC770" s="25">
        <f t="shared" si="757"/>
        <v>0</v>
      </c>
      <c r="BD770" s="25">
        <f t="shared" si="758"/>
        <v>0</v>
      </c>
      <c r="BE770" s="25">
        <v>0</v>
      </c>
      <c r="BF770" s="25">
        <f>770</f>
        <v>770</v>
      </c>
      <c r="BH770" s="25">
        <f t="shared" si="759"/>
        <v>0</v>
      </c>
      <c r="BI770" s="25">
        <f t="shared" si="760"/>
        <v>0</v>
      </c>
      <c r="BJ770" s="25">
        <f t="shared" si="761"/>
        <v>0</v>
      </c>
      <c r="BK770" s="27" t="s">
        <v>57</v>
      </c>
      <c r="BL770" s="25"/>
      <c r="BW770" s="25">
        <v>21</v>
      </c>
      <c r="BX770" s="5" t="s">
        <v>2308</v>
      </c>
    </row>
    <row r="771" spans="1:76" x14ac:dyDescent="0.25">
      <c r="A771" s="2" t="s">
        <v>2309</v>
      </c>
      <c r="B771" s="3" t="s">
        <v>2310</v>
      </c>
      <c r="C771" s="93" t="s">
        <v>2311</v>
      </c>
      <c r="D771" s="94"/>
      <c r="E771" s="3" t="s">
        <v>52</v>
      </c>
      <c r="F771" s="25">
        <v>6</v>
      </c>
      <c r="G771" s="25">
        <v>0</v>
      </c>
      <c r="H771" s="25">
        <f t="shared" si="740"/>
        <v>0</v>
      </c>
      <c r="I771" s="25">
        <f t="shared" si="741"/>
        <v>0</v>
      </c>
      <c r="J771" s="25">
        <f t="shared" si="742"/>
        <v>0</v>
      </c>
      <c r="K771" s="26" t="s">
        <v>53</v>
      </c>
      <c r="Z771" s="25">
        <f t="shared" si="743"/>
        <v>0</v>
      </c>
      <c r="AB771" s="25">
        <f t="shared" si="744"/>
        <v>0</v>
      </c>
      <c r="AC771" s="25">
        <f t="shared" si="745"/>
        <v>0</v>
      </c>
      <c r="AD771" s="25">
        <f t="shared" si="746"/>
        <v>0</v>
      </c>
      <c r="AE771" s="25">
        <f t="shared" si="747"/>
        <v>0</v>
      </c>
      <c r="AF771" s="25">
        <f t="shared" si="748"/>
        <v>0</v>
      </c>
      <c r="AG771" s="25">
        <f t="shared" si="749"/>
        <v>0</v>
      </c>
      <c r="AH771" s="25">
        <f t="shared" si="750"/>
        <v>0</v>
      </c>
      <c r="AI771" s="11" t="s">
        <v>46</v>
      </c>
      <c r="AJ771" s="25">
        <f t="shared" si="751"/>
        <v>0</v>
      </c>
      <c r="AK771" s="25">
        <f t="shared" si="752"/>
        <v>0</v>
      </c>
      <c r="AL771" s="25">
        <f t="shared" si="753"/>
        <v>0</v>
      </c>
      <c r="AN771" s="25">
        <v>21</v>
      </c>
      <c r="AO771" s="25">
        <f>G771*0.570005709</f>
        <v>0</v>
      </c>
      <c r="AP771" s="25">
        <f>G771*(1-0.570005709)</f>
        <v>0</v>
      </c>
      <c r="AQ771" s="27" t="s">
        <v>58</v>
      </c>
      <c r="AV771" s="25">
        <f t="shared" si="754"/>
        <v>0</v>
      </c>
      <c r="AW771" s="25">
        <f t="shared" si="755"/>
        <v>0</v>
      </c>
      <c r="AX771" s="25">
        <f t="shared" si="756"/>
        <v>0</v>
      </c>
      <c r="AY771" s="27" t="s">
        <v>2299</v>
      </c>
      <c r="AZ771" s="27" t="s">
        <v>305</v>
      </c>
      <c r="BA771" s="11" t="s">
        <v>56</v>
      </c>
      <c r="BC771" s="25">
        <f t="shared" si="757"/>
        <v>0</v>
      </c>
      <c r="BD771" s="25">
        <f t="shared" si="758"/>
        <v>0</v>
      </c>
      <c r="BE771" s="25">
        <v>0</v>
      </c>
      <c r="BF771" s="25">
        <f>771</f>
        <v>771</v>
      </c>
      <c r="BH771" s="25">
        <f t="shared" si="759"/>
        <v>0</v>
      </c>
      <c r="BI771" s="25">
        <f t="shared" si="760"/>
        <v>0</v>
      </c>
      <c r="BJ771" s="25">
        <f t="shared" si="761"/>
        <v>0</v>
      </c>
      <c r="BK771" s="27" t="s">
        <v>57</v>
      </c>
      <c r="BL771" s="25"/>
      <c r="BW771" s="25">
        <v>21</v>
      </c>
      <c r="BX771" s="5" t="s">
        <v>2311</v>
      </c>
    </row>
    <row r="772" spans="1:76" x14ac:dyDescent="0.25">
      <c r="A772" s="2" t="s">
        <v>2312</v>
      </c>
      <c r="B772" s="3" t="s">
        <v>2313</v>
      </c>
      <c r="C772" s="93" t="s">
        <v>2314</v>
      </c>
      <c r="D772" s="94"/>
      <c r="E772" s="3" t="s">
        <v>131</v>
      </c>
      <c r="F772" s="25">
        <v>690</v>
      </c>
      <c r="G772" s="25">
        <v>0</v>
      </c>
      <c r="H772" s="25">
        <f t="shared" si="740"/>
        <v>0</v>
      </c>
      <c r="I772" s="25">
        <f t="shared" si="741"/>
        <v>0</v>
      </c>
      <c r="J772" s="25">
        <f t="shared" si="742"/>
        <v>0</v>
      </c>
      <c r="K772" s="26" t="s">
        <v>53</v>
      </c>
      <c r="Z772" s="25">
        <f t="shared" si="743"/>
        <v>0</v>
      </c>
      <c r="AB772" s="25">
        <f t="shared" si="744"/>
        <v>0</v>
      </c>
      <c r="AC772" s="25">
        <f t="shared" si="745"/>
        <v>0</v>
      </c>
      <c r="AD772" s="25">
        <f t="shared" si="746"/>
        <v>0</v>
      </c>
      <c r="AE772" s="25">
        <f t="shared" si="747"/>
        <v>0</v>
      </c>
      <c r="AF772" s="25">
        <f t="shared" si="748"/>
        <v>0</v>
      </c>
      <c r="AG772" s="25">
        <f t="shared" si="749"/>
        <v>0</v>
      </c>
      <c r="AH772" s="25">
        <f t="shared" si="750"/>
        <v>0</v>
      </c>
      <c r="AI772" s="11" t="s">
        <v>46</v>
      </c>
      <c r="AJ772" s="25">
        <f t="shared" si="751"/>
        <v>0</v>
      </c>
      <c r="AK772" s="25">
        <f t="shared" si="752"/>
        <v>0</v>
      </c>
      <c r="AL772" s="25">
        <f t="shared" si="753"/>
        <v>0</v>
      </c>
      <c r="AN772" s="25">
        <v>21</v>
      </c>
      <c r="AO772" s="25">
        <f>G772*0.56998372</f>
        <v>0</v>
      </c>
      <c r="AP772" s="25">
        <f>G772*(1-0.56998372)</f>
        <v>0</v>
      </c>
      <c r="AQ772" s="27" t="s">
        <v>58</v>
      </c>
      <c r="AV772" s="25">
        <f t="shared" si="754"/>
        <v>0</v>
      </c>
      <c r="AW772" s="25">
        <f t="shared" si="755"/>
        <v>0</v>
      </c>
      <c r="AX772" s="25">
        <f t="shared" si="756"/>
        <v>0</v>
      </c>
      <c r="AY772" s="27" t="s">
        <v>2299</v>
      </c>
      <c r="AZ772" s="27" t="s">
        <v>305</v>
      </c>
      <c r="BA772" s="11" t="s">
        <v>56</v>
      </c>
      <c r="BC772" s="25">
        <f t="shared" si="757"/>
        <v>0</v>
      </c>
      <c r="BD772" s="25">
        <f t="shared" si="758"/>
        <v>0</v>
      </c>
      <c r="BE772" s="25">
        <v>0</v>
      </c>
      <c r="BF772" s="25">
        <f>772</f>
        <v>772</v>
      </c>
      <c r="BH772" s="25">
        <f t="shared" si="759"/>
        <v>0</v>
      </c>
      <c r="BI772" s="25">
        <f t="shared" si="760"/>
        <v>0</v>
      </c>
      <c r="BJ772" s="25">
        <f t="shared" si="761"/>
        <v>0</v>
      </c>
      <c r="BK772" s="27" t="s">
        <v>57</v>
      </c>
      <c r="BL772" s="25"/>
      <c r="BW772" s="25">
        <v>21</v>
      </c>
      <c r="BX772" s="5" t="s">
        <v>2314</v>
      </c>
    </row>
    <row r="773" spans="1:76" x14ac:dyDescent="0.25">
      <c r="A773" s="2" t="s">
        <v>1022</v>
      </c>
      <c r="B773" s="3" t="s">
        <v>2315</v>
      </c>
      <c r="C773" s="93" t="s">
        <v>2180</v>
      </c>
      <c r="D773" s="94"/>
      <c r="E773" s="3" t="s">
        <v>131</v>
      </c>
      <c r="F773" s="25">
        <v>150</v>
      </c>
      <c r="G773" s="25">
        <v>0</v>
      </c>
      <c r="H773" s="25">
        <f t="shared" si="740"/>
        <v>0</v>
      </c>
      <c r="I773" s="25">
        <f t="shared" si="741"/>
        <v>0</v>
      </c>
      <c r="J773" s="25">
        <f t="shared" si="742"/>
        <v>0</v>
      </c>
      <c r="K773" s="26" t="s">
        <v>53</v>
      </c>
      <c r="Z773" s="25">
        <f t="shared" si="743"/>
        <v>0</v>
      </c>
      <c r="AB773" s="25">
        <f t="shared" si="744"/>
        <v>0</v>
      </c>
      <c r="AC773" s="25">
        <f t="shared" si="745"/>
        <v>0</v>
      </c>
      <c r="AD773" s="25">
        <f t="shared" si="746"/>
        <v>0</v>
      </c>
      <c r="AE773" s="25">
        <f t="shared" si="747"/>
        <v>0</v>
      </c>
      <c r="AF773" s="25">
        <f t="shared" si="748"/>
        <v>0</v>
      </c>
      <c r="AG773" s="25">
        <f t="shared" si="749"/>
        <v>0</v>
      </c>
      <c r="AH773" s="25">
        <f t="shared" si="750"/>
        <v>0</v>
      </c>
      <c r="AI773" s="11" t="s">
        <v>46</v>
      </c>
      <c r="AJ773" s="25">
        <f t="shared" si="751"/>
        <v>0</v>
      </c>
      <c r="AK773" s="25">
        <f t="shared" si="752"/>
        <v>0</v>
      </c>
      <c r="AL773" s="25">
        <f t="shared" si="753"/>
        <v>0</v>
      </c>
      <c r="AN773" s="25">
        <v>21</v>
      </c>
      <c r="AO773" s="25">
        <f>G773*0.569977778</f>
        <v>0</v>
      </c>
      <c r="AP773" s="25">
        <f>G773*(1-0.569977778)</f>
        <v>0</v>
      </c>
      <c r="AQ773" s="27" t="s">
        <v>58</v>
      </c>
      <c r="AV773" s="25">
        <f t="shared" si="754"/>
        <v>0</v>
      </c>
      <c r="AW773" s="25">
        <f t="shared" si="755"/>
        <v>0</v>
      </c>
      <c r="AX773" s="25">
        <f t="shared" si="756"/>
        <v>0</v>
      </c>
      <c r="AY773" s="27" t="s">
        <v>2299</v>
      </c>
      <c r="AZ773" s="27" t="s">
        <v>305</v>
      </c>
      <c r="BA773" s="11" t="s">
        <v>56</v>
      </c>
      <c r="BC773" s="25">
        <f t="shared" si="757"/>
        <v>0</v>
      </c>
      <c r="BD773" s="25">
        <f t="shared" si="758"/>
        <v>0</v>
      </c>
      <c r="BE773" s="25">
        <v>0</v>
      </c>
      <c r="BF773" s="25">
        <f>773</f>
        <v>773</v>
      </c>
      <c r="BH773" s="25">
        <f t="shared" si="759"/>
        <v>0</v>
      </c>
      <c r="BI773" s="25">
        <f t="shared" si="760"/>
        <v>0</v>
      </c>
      <c r="BJ773" s="25">
        <f t="shared" si="761"/>
        <v>0</v>
      </c>
      <c r="BK773" s="27" t="s">
        <v>57</v>
      </c>
      <c r="BL773" s="25"/>
      <c r="BW773" s="25">
        <v>21</v>
      </c>
      <c r="BX773" s="5" t="s">
        <v>2180</v>
      </c>
    </row>
    <row r="774" spans="1:76" x14ac:dyDescent="0.25">
      <c r="A774" s="2" t="s">
        <v>2316</v>
      </c>
      <c r="B774" s="3" t="s">
        <v>2317</v>
      </c>
      <c r="C774" s="93" t="s">
        <v>2186</v>
      </c>
      <c r="D774" s="94"/>
      <c r="E774" s="3" t="s">
        <v>131</v>
      </c>
      <c r="F774" s="25">
        <v>150</v>
      </c>
      <c r="G774" s="25">
        <v>0</v>
      </c>
      <c r="H774" s="25">
        <f t="shared" si="740"/>
        <v>0</v>
      </c>
      <c r="I774" s="25">
        <f t="shared" si="741"/>
        <v>0</v>
      </c>
      <c r="J774" s="25">
        <f t="shared" si="742"/>
        <v>0</v>
      </c>
      <c r="K774" s="26" t="s">
        <v>53</v>
      </c>
      <c r="Z774" s="25">
        <f t="shared" si="743"/>
        <v>0</v>
      </c>
      <c r="AB774" s="25">
        <f t="shared" si="744"/>
        <v>0</v>
      </c>
      <c r="AC774" s="25">
        <f t="shared" si="745"/>
        <v>0</v>
      </c>
      <c r="AD774" s="25">
        <f t="shared" si="746"/>
        <v>0</v>
      </c>
      <c r="AE774" s="25">
        <f t="shared" si="747"/>
        <v>0</v>
      </c>
      <c r="AF774" s="25">
        <f t="shared" si="748"/>
        <v>0</v>
      </c>
      <c r="AG774" s="25">
        <f t="shared" si="749"/>
        <v>0</v>
      </c>
      <c r="AH774" s="25">
        <f t="shared" si="750"/>
        <v>0</v>
      </c>
      <c r="AI774" s="11" t="s">
        <v>46</v>
      </c>
      <c r="AJ774" s="25">
        <f t="shared" si="751"/>
        <v>0</v>
      </c>
      <c r="AK774" s="25">
        <f t="shared" si="752"/>
        <v>0</v>
      </c>
      <c r="AL774" s="25">
        <f t="shared" si="753"/>
        <v>0</v>
      </c>
      <c r="AN774" s="25">
        <v>21</v>
      </c>
      <c r="AO774" s="25">
        <f>G774*0.569885438</f>
        <v>0</v>
      </c>
      <c r="AP774" s="25">
        <f>G774*(1-0.569885438)</f>
        <v>0</v>
      </c>
      <c r="AQ774" s="27" t="s">
        <v>58</v>
      </c>
      <c r="AV774" s="25">
        <f t="shared" si="754"/>
        <v>0</v>
      </c>
      <c r="AW774" s="25">
        <f t="shared" si="755"/>
        <v>0</v>
      </c>
      <c r="AX774" s="25">
        <f t="shared" si="756"/>
        <v>0</v>
      </c>
      <c r="AY774" s="27" t="s">
        <v>2299</v>
      </c>
      <c r="AZ774" s="27" t="s">
        <v>305</v>
      </c>
      <c r="BA774" s="11" t="s">
        <v>56</v>
      </c>
      <c r="BC774" s="25">
        <f t="shared" si="757"/>
        <v>0</v>
      </c>
      <c r="BD774" s="25">
        <f t="shared" si="758"/>
        <v>0</v>
      </c>
      <c r="BE774" s="25">
        <v>0</v>
      </c>
      <c r="BF774" s="25">
        <f>774</f>
        <v>774</v>
      </c>
      <c r="BH774" s="25">
        <f t="shared" si="759"/>
        <v>0</v>
      </c>
      <c r="BI774" s="25">
        <f t="shared" si="760"/>
        <v>0</v>
      </c>
      <c r="BJ774" s="25">
        <f t="shared" si="761"/>
        <v>0</v>
      </c>
      <c r="BK774" s="27" t="s">
        <v>57</v>
      </c>
      <c r="BL774" s="25"/>
      <c r="BW774" s="25">
        <v>21</v>
      </c>
      <c r="BX774" s="5" t="s">
        <v>2186</v>
      </c>
    </row>
    <row r="775" spans="1:76" ht="25.5" x14ac:dyDescent="0.25">
      <c r="A775" s="2" t="s">
        <v>2318</v>
      </c>
      <c r="B775" s="3" t="s">
        <v>2319</v>
      </c>
      <c r="C775" s="93" t="s">
        <v>2189</v>
      </c>
      <c r="D775" s="94"/>
      <c r="E775" s="3" t="s">
        <v>52</v>
      </c>
      <c r="F775" s="25">
        <v>3</v>
      </c>
      <c r="G775" s="25">
        <v>0</v>
      </c>
      <c r="H775" s="25">
        <f t="shared" si="740"/>
        <v>0</v>
      </c>
      <c r="I775" s="25">
        <f t="shared" si="741"/>
        <v>0</v>
      </c>
      <c r="J775" s="25">
        <f t="shared" si="742"/>
        <v>0</v>
      </c>
      <c r="K775" s="26" t="s">
        <v>53</v>
      </c>
      <c r="Z775" s="25">
        <f t="shared" si="743"/>
        <v>0</v>
      </c>
      <c r="AB775" s="25">
        <f t="shared" si="744"/>
        <v>0</v>
      </c>
      <c r="AC775" s="25">
        <f t="shared" si="745"/>
        <v>0</v>
      </c>
      <c r="AD775" s="25">
        <f t="shared" si="746"/>
        <v>0</v>
      </c>
      <c r="AE775" s="25">
        <f t="shared" si="747"/>
        <v>0</v>
      </c>
      <c r="AF775" s="25">
        <f t="shared" si="748"/>
        <v>0</v>
      </c>
      <c r="AG775" s="25">
        <f t="shared" si="749"/>
        <v>0</v>
      </c>
      <c r="AH775" s="25">
        <f t="shared" si="750"/>
        <v>0</v>
      </c>
      <c r="AI775" s="11" t="s">
        <v>46</v>
      </c>
      <c r="AJ775" s="25">
        <f t="shared" si="751"/>
        <v>0</v>
      </c>
      <c r="AK775" s="25">
        <f t="shared" si="752"/>
        <v>0</v>
      </c>
      <c r="AL775" s="25">
        <f t="shared" si="753"/>
        <v>0</v>
      </c>
      <c r="AN775" s="25">
        <v>21</v>
      </c>
      <c r="AO775" s="25">
        <f>G775*0.570065789</f>
        <v>0</v>
      </c>
      <c r="AP775" s="25">
        <f>G775*(1-0.570065789)</f>
        <v>0</v>
      </c>
      <c r="AQ775" s="27" t="s">
        <v>58</v>
      </c>
      <c r="AV775" s="25">
        <f t="shared" si="754"/>
        <v>0</v>
      </c>
      <c r="AW775" s="25">
        <f t="shared" si="755"/>
        <v>0</v>
      </c>
      <c r="AX775" s="25">
        <f t="shared" si="756"/>
        <v>0</v>
      </c>
      <c r="AY775" s="27" t="s">
        <v>2299</v>
      </c>
      <c r="AZ775" s="27" t="s">
        <v>305</v>
      </c>
      <c r="BA775" s="11" t="s">
        <v>56</v>
      </c>
      <c r="BC775" s="25">
        <f t="shared" si="757"/>
        <v>0</v>
      </c>
      <c r="BD775" s="25">
        <f t="shared" si="758"/>
        <v>0</v>
      </c>
      <c r="BE775" s="25">
        <v>0</v>
      </c>
      <c r="BF775" s="25">
        <f>775</f>
        <v>775</v>
      </c>
      <c r="BH775" s="25">
        <f t="shared" si="759"/>
        <v>0</v>
      </c>
      <c r="BI775" s="25">
        <f t="shared" si="760"/>
        <v>0</v>
      </c>
      <c r="BJ775" s="25">
        <f t="shared" si="761"/>
        <v>0</v>
      </c>
      <c r="BK775" s="27" t="s">
        <v>57</v>
      </c>
      <c r="BL775" s="25"/>
      <c r="BW775" s="25">
        <v>21</v>
      </c>
      <c r="BX775" s="5" t="s">
        <v>2189</v>
      </c>
    </row>
    <row r="776" spans="1:76" x14ac:dyDescent="0.25">
      <c r="A776" s="2" t="s">
        <v>1239</v>
      </c>
      <c r="B776" s="3" t="s">
        <v>2320</v>
      </c>
      <c r="C776" s="93" t="s">
        <v>2192</v>
      </c>
      <c r="D776" s="94"/>
      <c r="E776" s="3" t="s">
        <v>52</v>
      </c>
      <c r="F776" s="25">
        <v>10</v>
      </c>
      <c r="G776" s="25">
        <v>0</v>
      </c>
      <c r="H776" s="25">
        <f t="shared" si="740"/>
        <v>0</v>
      </c>
      <c r="I776" s="25">
        <f t="shared" si="741"/>
        <v>0</v>
      </c>
      <c r="J776" s="25">
        <f t="shared" si="742"/>
        <v>0</v>
      </c>
      <c r="K776" s="26" t="s">
        <v>53</v>
      </c>
      <c r="Z776" s="25">
        <f t="shared" si="743"/>
        <v>0</v>
      </c>
      <c r="AB776" s="25">
        <f t="shared" si="744"/>
        <v>0</v>
      </c>
      <c r="AC776" s="25">
        <f t="shared" si="745"/>
        <v>0</v>
      </c>
      <c r="AD776" s="25">
        <f t="shared" si="746"/>
        <v>0</v>
      </c>
      <c r="AE776" s="25">
        <f t="shared" si="747"/>
        <v>0</v>
      </c>
      <c r="AF776" s="25">
        <f t="shared" si="748"/>
        <v>0</v>
      </c>
      <c r="AG776" s="25">
        <f t="shared" si="749"/>
        <v>0</v>
      </c>
      <c r="AH776" s="25">
        <f t="shared" si="750"/>
        <v>0</v>
      </c>
      <c r="AI776" s="11" t="s">
        <v>46</v>
      </c>
      <c r="AJ776" s="25">
        <f t="shared" si="751"/>
        <v>0</v>
      </c>
      <c r="AK776" s="25">
        <f t="shared" si="752"/>
        <v>0</v>
      </c>
      <c r="AL776" s="25">
        <f t="shared" si="753"/>
        <v>0</v>
      </c>
      <c r="AN776" s="25">
        <v>21</v>
      </c>
      <c r="AO776" s="25">
        <f>G776*0.56993054</f>
        <v>0</v>
      </c>
      <c r="AP776" s="25">
        <f>G776*(1-0.56993054)</f>
        <v>0</v>
      </c>
      <c r="AQ776" s="27" t="s">
        <v>58</v>
      </c>
      <c r="AV776" s="25">
        <f t="shared" si="754"/>
        <v>0</v>
      </c>
      <c r="AW776" s="25">
        <f t="shared" si="755"/>
        <v>0</v>
      </c>
      <c r="AX776" s="25">
        <f t="shared" si="756"/>
        <v>0</v>
      </c>
      <c r="AY776" s="27" t="s">
        <v>2299</v>
      </c>
      <c r="AZ776" s="27" t="s">
        <v>305</v>
      </c>
      <c r="BA776" s="11" t="s">
        <v>56</v>
      </c>
      <c r="BC776" s="25">
        <f t="shared" si="757"/>
        <v>0</v>
      </c>
      <c r="BD776" s="25">
        <f t="shared" si="758"/>
        <v>0</v>
      </c>
      <c r="BE776" s="25">
        <v>0</v>
      </c>
      <c r="BF776" s="25">
        <f>776</f>
        <v>776</v>
      </c>
      <c r="BH776" s="25">
        <f t="shared" si="759"/>
        <v>0</v>
      </c>
      <c r="BI776" s="25">
        <f t="shared" si="760"/>
        <v>0</v>
      </c>
      <c r="BJ776" s="25">
        <f t="shared" si="761"/>
        <v>0</v>
      </c>
      <c r="BK776" s="27" t="s">
        <v>57</v>
      </c>
      <c r="BL776" s="25"/>
      <c r="BW776" s="25">
        <v>21</v>
      </c>
      <c r="BX776" s="5" t="s">
        <v>2192</v>
      </c>
    </row>
    <row r="777" spans="1:76" x14ac:dyDescent="0.25">
      <c r="A777" s="2" t="s">
        <v>2321</v>
      </c>
      <c r="B777" s="3" t="s">
        <v>2322</v>
      </c>
      <c r="C777" s="93" t="s">
        <v>2195</v>
      </c>
      <c r="D777" s="94"/>
      <c r="E777" s="3" t="s">
        <v>52</v>
      </c>
      <c r="F777" s="25">
        <v>10</v>
      </c>
      <c r="G777" s="25">
        <v>0</v>
      </c>
      <c r="H777" s="25">
        <f t="shared" si="740"/>
        <v>0</v>
      </c>
      <c r="I777" s="25">
        <f t="shared" si="741"/>
        <v>0</v>
      </c>
      <c r="J777" s="25">
        <f t="shared" si="742"/>
        <v>0</v>
      </c>
      <c r="K777" s="26" t="s">
        <v>53</v>
      </c>
      <c r="Z777" s="25">
        <f t="shared" si="743"/>
        <v>0</v>
      </c>
      <c r="AB777" s="25">
        <f t="shared" si="744"/>
        <v>0</v>
      </c>
      <c r="AC777" s="25">
        <f t="shared" si="745"/>
        <v>0</v>
      </c>
      <c r="AD777" s="25">
        <f t="shared" si="746"/>
        <v>0</v>
      </c>
      <c r="AE777" s="25">
        <f t="shared" si="747"/>
        <v>0</v>
      </c>
      <c r="AF777" s="25">
        <f t="shared" si="748"/>
        <v>0</v>
      </c>
      <c r="AG777" s="25">
        <f t="shared" si="749"/>
        <v>0</v>
      </c>
      <c r="AH777" s="25">
        <f t="shared" si="750"/>
        <v>0</v>
      </c>
      <c r="AI777" s="11" t="s">
        <v>46</v>
      </c>
      <c r="AJ777" s="25">
        <f t="shared" si="751"/>
        <v>0</v>
      </c>
      <c r="AK777" s="25">
        <f t="shared" si="752"/>
        <v>0</v>
      </c>
      <c r="AL777" s="25">
        <f t="shared" si="753"/>
        <v>0</v>
      </c>
      <c r="AN777" s="25">
        <v>21</v>
      </c>
      <c r="AO777" s="25">
        <f>G777*0.569783198</f>
        <v>0</v>
      </c>
      <c r="AP777" s="25">
        <f>G777*(1-0.569783198)</f>
        <v>0</v>
      </c>
      <c r="AQ777" s="27" t="s">
        <v>58</v>
      </c>
      <c r="AV777" s="25">
        <f t="shared" si="754"/>
        <v>0</v>
      </c>
      <c r="AW777" s="25">
        <f t="shared" si="755"/>
        <v>0</v>
      </c>
      <c r="AX777" s="25">
        <f t="shared" si="756"/>
        <v>0</v>
      </c>
      <c r="AY777" s="27" t="s">
        <v>2299</v>
      </c>
      <c r="AZ777" s="27" t="s">
        <v>305</v>
      </c>
      <c r="BA777" s="11" t="s">
        <v>56</v>
      </c>
      <c r="BC777" s="25">
        <f t="shared" si="757"/>
        <v>0</v>
      </c>
      <c r="BD777" s="25">
        <f t="shared" si="758"/>
        <v>0</v>
      </c>
      <c r="BE777" s="25">
        <v>0</v>
      </c>
      <c r="BF777" s="25">
        <f>777</f>
        <v>777</v>
      </c>
      <c r="BH777" s="25">
        <f t="shared" si="759"/>
        <v>0</v>
      </c>
      <c r="BI777" s="25">
        <f t="shared" si="760"/>
        <v>0</v>
      </c>
      <c r="BJ777" s="25">
        <f t="shared" si="761"/>
        <v>0</v>
      </c>
      <c r="BK777" s="27" t="s">
        <v>57</v>
      </c>
      <c r="BL777" s="25"/>
      <c r="BW777" s="25">
        <v>21</v>
      </c>
      <c r="BX777" s="5" t="s">
        <v>2195</v>
      </c>
    </row>
    <row r="778" spans="1:76" x14ac:dyDescent="0.25">
      <c r="A778" s="2" t="s">
        <v>2323</v>
      </c>
      <c r="B778" s="3" t="s">
        <v>2324</v>
      </c>
      <c r="C778" s="93" t="s">
        <v>2325</v>
      </c>
      <c r="D778" s="94"/>
      <c r="E778" s="3" t="s">
        <v>52</v>
      </c>
      <c r="F778" s="25">
        <v>1</v>
      </c>
      <c r="G778" s="25">
        <v>0</v>
      </c>
      <c r="H778" s="25">
        <f t="shared" si="740"/>
        <v>0</v>
      </c>
      <c r="I778" s="25">
        <f t="shared" si="741"/>
        <v>0</v>
      </c>
      <c r="J778" s="25">
        <f t="shared" si="742"/>
        <v>0</v>
      </c>
      <c r="K778" s="26" t="s">
        <v>53</v>
      </c>
      <c r="Z778" s="25">
        <f t="shared" si="743"/>
        <v>0</v>
      </c>
      <c r="AB778" s="25">
        <f t="shared" si="744"/>
        <v>0</v>
      </c>
      <c r="AC778" s="25">
        <f t="shared" si="745"/>
        <v>0</v>
      </c>
      <c r="AD778" s="25">
        <f t="shared" si="746"/>
        <v>0</v>
      </c>
      <c r="AE778" s="25">
        <f t="shared" si="747"/>
        <v>0</v>
      </c>
      <c r="AF778" s="25">
        <f t="shared" si="748"/>
        <v>0</v>
      </c>
      <c r="AG778" s="25">
        <f t="shared" si="749"/>
        <v>0</v>
      </c>
      <c r="AH778" s="25">
        <f t="shared" si="750"/>
        <v>0</v>
      </c>
      <c r="AI778" s="11" t="s">
        <v>46</v>
      </c>
      <c r="AJ778" s="25">
        <f t="shared" si="751"/>
        <v>0</v>
      </c>
      <c r="AK778" s="25">
        <f t="shared" si="752"/>
        <v>0</v>
      </c>
      <c r="AL778" s="25">
        <f t="shared" si="753"/>
        <v>0</v>
      </c>
      <c r="AN778" s="25">
        <v>21</v>
      </c>
      <c r="AO778" s="25">
        <f>G778*0.57</f>
        <v>0</v>
      </c>
      <c r="AP778" s="25">
        <f>G778*(1-0.57)</f>
        <v>0</v>
      </c>
      <c r="AQ778" s="27" t="s">
        <v>58</v>
      </c>
      <c r="AV778" s="25">
        <f t="shared" si="754"/>
        <v>0</v>
      </c>
      <c r="AW778" s="25">
        <f t="shared" si="755"/>
        <v>0</v>
      </c>
      <c r="AX778" s="25">
        <f t="shared" si="756"/>
        <v>0</v>
      </c>
      <c r="AY778" s="27" t="s">
        <v>2299</v>
      </c>
      <c r="AZ778" s="27" t="s">
        <v>305</v>
      </c>
      <c r="BA778" s="11" t="s">
        <v>56</v>
      </c>
      <c r="BC778" s="25">
        <f t="shared" si="757"/>
        <v>0</v>
      </c>
      <c r="BD778" s="25">
        <f t="shared" si="758"/>
        <v>0</v>
      </c>
      <c r="BE778" s="25">
        <v>0</v>
      </c>
      <c r="BF778" s="25">
        <f>778</f>
        <v>778</v>
      </c>
      <c r="BH778" s="25">
        <f t="shared" si="759"/>
        <v>0</v>
      </c>
      <c r="BI778" s="25">
        <f t="shared" si="760"/>
        <v>0</v>
      </c>
      <c r="BJ778" s="25">
        <f t="shared" si="761"/>
        <v>0</v>
      </c>
      <c r="BK778" s="27" t="s">
        <v>57</v>
      </c>
      <c r="BL778" s="25"/>
      <c r="BW778" s="25">
        <v>21</v>
      </c>
      <c r="BX778" s="5" t="s">
        <v>2325</v>
      </c>
    </row>
    <row r="779" spans="1:76" x14ac:dyDescent="0.25">
      <c r="A779" s="2" t="s">
        <v>2326</v>
      </c>
      <c r="B779" s="3" t="s">
        <v>2327</v>
      </c>
      <c r="C779" s="93" t="s">
        <v>2201</v>
      </c>
      <c r="D779" s="94"/>
      <c r="E779" s="3" t="s">
        <v>131</v>
      </c>
      <c r="F779" s="25">
        <v>50</v>
      </c>
      <c r="G779" s="25">
        <v>0</v>
      </c>
      <c r="H779" s="25">
        <f t="shared" si="740"/>
        <v>0</v>
      </c>
      <c r="I779" s="25">
        <f t="shared" si="741"/>
        <v>0</v>
      </c>
      <c r="J779" s="25">
        <f t="shared" si="742"/>
        <v>0</v>
      </c>
      <c r="K779" s="26" t="s">
        <v>53</v>
      </c>
      <c r="Z779" s="25">
        <f t="shared" si="743"/>
        <v>0</v>
      </c>
      <c r="AB779" s="25">
        <f t="shared" si="744"/>
        <v>0</v>
      </c>
      <c r="AC779" s="25">
        <f t="shared" si="745"/>
        <v>0</v>
      </c>
      <c r="AD779" s="25">
        <f t="shared" si="746"/>
        <v>0</v>
      </c>
      <c r="AE779" s="25">
        <f t="shared" si="747"/>
        <v>0</v>
      </c>
      <c r="AF779" s="25">
        <f t="shared" si="748"/>
        <v>0</v>
      </c>
      <c r="AG779" s="25">
        <f t="shared" si="749"/>
        <v>0</v>
      </c>
      <c r="AH779" s="25">
        <f t="shared" si="750"/>
        <v>0</v>
      </c>
      <c r="AI779" s="11" t="s">
        <v>46</v>
      </c>
      <c r="AJ779" s="25">
        <f t="shared" si="751"/>
        <v>0</v>
      </c>
      <c r="AK779" s="25">
        <f t="shared" si="752"/>
        <v>0</v>
      </c>
      <c r="AL779" s="25">
        <f t="shared" si="753"/>
        <v>0</v>
      </c>
      <c r="AN779" s="25">
        <v>21</v>
      </c>
      <c r="AO779" s="25">
        <f>G779*0.570014425</f>
        <v>0</v>
      </c>
      <c r="AP779" s="25">
        <f>G779*(1-0.570014425)</f>
        <v>0</v>
      </c>
      <c r="AQ779" s="27" t="s">
        <v>58</v>
      </c>
      <c r="AV779" s="25">
        <f t="shared" si="754"/>
        <v>0</v>
      </c>
      <c r="AW779" s="25">
        <f t="shared" si="755"/>
        <v>0</v>
      </c>
      <c r="AX779" s="25">
        <f t="shared" si="756"/>
        <v>0</v>
      </c>
      <c r="AY779" s="27" t="s">
        <v>2299</v>
      </c>
      <c r="AZ779" s="27" t="s">
        <v>305</v>
      </c>
      <c r="BA779" s="11" t="s">
        <v>56</v>
      </c>
      <c r="BC779" s="25">
        <f t="shared" si="757"/>
        <v>0</v>
      </c>
      <c r="BD779" s="25">
        <f t="shared" si="758"/>
        <v>0</v>
      </c>
      <c r="BE779" s="25">
        <v>0</v>
      </c>
      <c r="BF779" s="25">
        <f>779</f>
        <v>779</v>
      </c>
      <c r="BH779" s="25">
        <f t="shared" si="759"/>
        <v>0</v>
      </c>
      <c r="BI779" s="25">
        <f t="shared" si="760"/>
        <v>0</v>
      </c>
      <c r="BJ779" s="25">
        <f t="shared" si="761"/>
        <v>0</v>
      </c>
      <c r="BK779" s="27" t="s">
        <v>57</v>
      </c>
      <c r="BL779" s="25"/>
      <c r="BW779" s="25">
        <v>21</v>
      </c>
      <c r="BX779" s="5" t="s">
        <v>2201</v>
      </c>
    </row>
    <row r="780" spans="1:76" x14ac:dyDescent="0.25">
      <c r="A780" s="2" t="s">
        <v>2328</v>
      </c>
      <c r="B780" s="3" t="s">
        <v>2329</v>
      </c>
      <c r="C780" s="93" t="s">
        <v>2330</v>
      </c>
      <c r="D780" s="94"/>
      <c r="E780" s="3" t="s">
        <v>52</v>
      </c>
      <c r="F780" s="25">
        <v>9</v>
      </c>
      <c r="G780" s="25">
        <v>0</v>
      </c>
      <c r="H780" s="25">
        <f t="shared" si="740"/>
        <v>0</v>
      </c>
      <c r="I780" s="25">
        <f t="shared" si="741"/>
        <v>0</v>
      </c>
      <c r="J780" s="25">
        <f t="shared" si="742"/>
        <v>0</v>
      </c>
      <c r="K780" s="26" t="s">
        <v>53</v>
      </c>
      <c r="Z780" s="25">
        <f t="shared" si="743"/>
        <v>0</v>
      </c>
      <c r="AB780" s="25">
        <f t="shared" si="744"/>
        <v>0</v>
      </c>
      <c r="AC780" s="25">
        <f t="shared" si="745"/>
        <v>0</v>
      </c>
      <c r="AD780" s="25">
        <f t="shared" si="746"/>
        <v>0</v>
      </c>
      <c r="AE780" s="25">
        <f t="shared" si="747"/>
        <v>0</v>
      </c>
      <c r="AF780" s="25">
        <f t="shared" si="748"/>
        <v>0</v>
      </c>
      <c r="AG780" s="25">
        <f t="shared" si="749"/>
        <v>0</v>
      </c>
      <c r="AH780" s="25">
        <f t="shared" si="750"/>
        <v>0</v>
      </c>
      <c r="AI780" s="11" t="s">
        <v>46</v>
      </c>
      <c r="AJ780" s="25">
        <f t="shared" si="751"/>
        <v>0</v>
      </c>
      <c r="AK780" s="25">
        <f t="shared" si="752"/>
        <v>0</v>
      </c>
      <c r="AL780" s="25">
        <f t="shared" si="753"/>
        <v>0</v>
      </c>
      <c r="AN780" s="25">
        <v>21</v>
      </c>
      <c r="AO780" s="25">
        <f>G780*0</f>
        <v>0</v>
      </c>
      <c r="AP780" s="25">
        <f>G780*(1-0)</f>
        <v>0</v>
      </c>
      <c r="AQ780" s="27" t="s">
        <v>58</v>
      </c>
      <c r="AV780" s="25">
        <f t="shared" si="754"/>
        <v>0</v>
      </c>
      <c r="AW780" s="25">
        <f t="shared" si="755"/>
        <v>0</v>
      </c>
      <c r="AX780" s="25">
        <f t="shared" si="756"/>
        <v>0</v>
      </c>
      <c r="AY780" s="27" t="s">
        <v>2299</v>
      </c>
      <c r="AZ780" s="27" t="s">
        <v>305</v>
      </c>
      <c r="BA780" s="11" t="s">
        <v>56</v>
      </c>
      <c r="BC780" s="25">
        <f t="shared" si="757"/>
        <v>0</v>
      </c>
      <c r="BD780" s="25">
        <f t="shared" si="758"/>
        <v>0</v>
      </c>
      <c r="BE780" s="25">
        <v>0</v>
      </c>
      <c r="BF780" s="25">
        <f>780</f>
        <v>780</v>
      </c>
      <c r="BH780" s="25">
        <f t="shared" si="759"/>
        <v>0</v>
      </c>
      <c r="BI780" s="25">
        <f t="shared" si="760"/>
        <v>0</v>
      </c>
      <c r="BJ780" s="25">
        <f t="shared" si="761"/>
        <v>0</v>
      </c>
      <c r="BK780" s="27" t="s">
        <v>57</v>
      </c>
      <c r="BL780" s="25"/>
      <c r="BW780" s="25">
        <v>21</v>
      </c>
      <c r="BX780" s="5" t="s">
        <v>2330</v>
      </c>
    </row>
    <row r="781" spans="1:76" x14ac:dyDescent="0.25">
      <c r="A781" s="2" t="s">
        <v>2331</v>
      </c>
      <c r="B781" s="3" t="s">
        <v>2332</v>
      </c>
      <c r="C781" s="93" t="s">
        <v>2333</v>
      </c>
      <c r="D781" s="94"/>
      <c r="E781" s="3" t="s">
        <v>52</v>
      </c>
      <c r="F781" s="25">
        <v>1</v>
      </c>
      <c r="G781" s="25">
        <v>0</v>
      </c>
      <c r="H781" s="25">
        <f t="shared" si="740"/>
        <v>0</v>
      </c>
      <c r="I781" s="25">
        <f t="shared" si="741"/>
        <v>0</v>
      </c>
      <c r="J781" s="25">
        <f t="shared" si="742"/>
        <v>0</v>
      </c>
      <c r="K781" s="26" t="s">
        <v>53</v>
      </c>
      <c r="Z781" s="25">
        <f t="shared" si="743"/>
        <v>0</v>
      </c>
      <c r="AB781" s="25">
        <f t="shared" si="744"/>
        <v>0</v>
      </c>
      <c r="AC781" s="25">
        <f t="shared" si="745"/>
        <v>0</v>
      </c>
      <c r="AD781" s="25">
        <f t="shared" si="746"/>
        <v>0</v>
      </c>
      <c r="AE781" s="25">
        <f t="shared" si="747"/>
        <v>0</v>
      </c>
      <c r="AF781" s="25">
        <f t="shared" si="748"/>
        <v>0</v>
      </c>
      <c r="AG781" s="25">
        <f t="shared" si="749"/>
        <v>0</v>
      </c>
      <c r="AH781" s="25">
        <f t="shared" si="750"/>
        <v>0</v>
      </c>
      <c r="AI781" s="11" t="s">
        <v>46</v>
      </c>
      <c r="AJ781" s="25">
        <f t="shared" si="751"/>
        <v>0</v>
      </c>
      <c r="AK781" s="25">
        <f t="shared" si="752"/>
        <v>0</v>
      </c>
      <c r="AL781" s="25">
        <f t="shared" si="753"/>
        <v>0</v>
      </c>
      <c r="AN781" s="25">
        <v>21</v>
      </c>
      <c r="AO781" s="25">
        <f>G781*0</f>
        <v>0</v>
      </c>
      <c r="AP781" s="25">
        <f>G781*(1-0)</f>
        <v>0</v>
      </c>
      <c r="AQ781" s="27" t="s">
        <v>58</v>
      </c>
      <c r="AV781" s="25">
        <f t="shared" si="754"/>
        <v>0</v>
      </c>
      <c r="AW781" s="25">
        <f t="shared" si="755"/>
        <v>0</v>
      </c>
      <c r="AX781" s="25">
        <f t="shared" si="756"/>
        <v>0</v>
      </c>
      <c r="AY781" s="27" t="s">
        <v>2299</v>
      </c>
      <c r="AZ781" s="27" t="s">
        <v>305</v>
      </c>
      <c r="BA781" s="11" t="s">
        <v>56</v>
      </c>
      <c r="BC781" s="25">
        <f t="shared" si="757"/>
        <v>0</v>
      </c>
      <c r="BD781" s="25">
        <f t="shared" si="758"/>
        <v>0</v>
      </c>
      <c r="BE781" s="25">
        <v>0</v>
      </c>
      <c r="BF781" s="25">
        <f>781</f>
        <v>781</v>
      </c>
      <c r="BH781" s="25">
        <f t="shared" si="759"/>
        <v>0</v>
      </c>
      <c r="BI781" s="25">
        <f t="shared" si="760"/>
        <v>0</v>
      </c>
      <c r="BJ781" s="25">
        <f t="shared" si="761"/>
        <v>0</v>
      </c>
      <c r="BK781" s="27" t="s">
        <v>57</v>
      </c>
      <c r="BL781" s="25"/>
      <c r="BW781" s="25">
        <v>21</v>
      </c>
      <c r="BX781" s="5" t="s">
        <v>2333</v>
      </c>
    </row>
    <row r="782" spans="1:76" x14ac:dyDescent="0.25">
      <c r="A782" s="2" t="s">
        <v>2334</v>
      </c>
      <c r="B782" s="3" t="s">
        <v>2335</v>
      </c>
      <c r="C782" s="93" t="s">
        <v>2336</v>
      </c>
      <c r="D782" s="94"/>
      <c r="E782" s="3" t="s">
        <v>52</v>
      </c>
      <c r="F782" s="25">
        <v>6</v>
      </c>
      <c r="G782" s="25">
        <v>0</v>
      </c>
      <c r="H782" s="25">
        <f t="shared" si="740"/>
        <v>0</v>
      </c>
      <c r="I782" s="25">
        <f t="shared" si="741"/>
        <v>0</v>
      </c>
      <c r="J782" s="25">
        <f t="shared" si="742"/>
        <v>0</v>
      </c>
      <c r="K782" s="26" t="s">
        <v>53</v>
      </c>
      <c r="Z782" s="25">
        <f t="shared" si="743"/>
        <v>0</v>
      </c>
      <c r="AB782" s="25">
        <f t="shared" si="744"/>
        <v>0</v>
      </c>
      <c r="AC782" s="25">
        <f t="shared" si="745"/>
        <v>0</v>
      </c>
      <c r="AD782" s="25">
        <f t="shared" si="746"/>
        <v>0</v>
      </c>
      <c r="AE782" s="25">
        <f t="shared" si="747"/>
        <v>0</v>
      </c>
      <c r="AF782" s="25">
        <f t="shared" si="748"/>
        <v>0</v>
      </c>
      <c r="AG782" s="25">
        <f t="shared" si="749"/>
        <v>0</v>
      </c>
      <c r="AH782" s="25">
        <f t="shared" si="750"/>
        <v>0</v>
      </c>
      <c r="AI782" s="11" t="s">
        <v>46</v>
      </c>
      <c r="AJ782" s="25">
        <f t="shared" si="751"/>
        <v>0</v>
      </c>
      <c r="AK782" s="25">
        <f t="shared" si="752"/>
        <v>0</v>
      </c>
      <c r="AL782" s="25">
        <f t="shared" si="753"/>
        <v>0</v>
      </c>
      <c r="AN782" s="25">
        <v>21</v>
      </c>
      <c r="AO782" s="25">
        <f>G782*0</f>
        <v>0</v>
      </c>
      <c r="AP782" s="25">
        <f>G782*(1-0)</f>
        <v>0</v>
      </c>
      <c r="AQ782" s="27" t="s">
        <v>58</v>
      </c>
      <c r="AV782" s="25">
        <f t="shared" si="754"/>
        <v>0</v>
      </c>
      <c r="AW782" s="25">
        <f t="shared" si="755"/>
        <v>0</v>
      </c>
      <c r="AX782" s="25">
        <f t="shared" si="756"/>
        <v>0</v>
      </c>
      <c r="AY782" s="27" t="s">
        <v>2299</v>
      </c>
      <c r="AZ782" s="27" t="s">
        <v>305</v>
      </c>
      <c r="BA782" s="11" t="s">
        <v>56</v>
      </c>
      <c r="BC782" s="25">
        <f t="shared" si="757"/>
        <v>0</v>
      </c>
      <c r="BD782" s="25">
        <f t="shared" si="758"/>
        <v>0</v>
      </c>
      <c r="BE782" s="25">
        <v>0</v>
      </c>
      <c r="BF782" s="25">
        <f>782</f>
        <v>782</v>
      </c>
      <c r="BH782" s="25">
        <f t="shared" si="759"/>
        <v>0</v>
      </c>
      <c r="BI782" s="25">
        <f t="shared" si="760"/>
        <v>0</v>
      </c>
      <c r="BJ782" s="25">
        <f t="shared" si="761"/>
        <v>0</v>
      </c>
      <c r="BK782" s="27" t="s">
        <v>57</v>
      </c>
      <c r="BL782" s="25"/>
      <c r="BW782" s="25">
        <v>21</v>
      </c>
      <c r="BX782" s="5" t="s">
        <v>2336</v>
      </c>
    </row>
    <row r="783" spans="1:76" x14ac:dyDescent="0.25">
      <c r="A783" s="2" t="s">
        <v>2337</v>
      </c>
      <c r="B783" s="3" t="s">
        <v>2338</v>
      </c>
      <c r="C783" s="93" t="s">
        <v>2234</v>
      </c>
      <c r="D783" s="94"/>
      <c r="E783" s="3" t="s">
        <v>52</v>
      </c>
      <c r="F783" s="25">
        <v>1</v>
      </c>
      <c r="G783" s="25">
        <v>0</v>
      </c>
      <c r="H783" s="25">
        <f t="shared" si="740"/>
        <v>0</v>
      </c>
      <c r="I783" s="25">
        <f t="shared" si="741"/>
        <v>0</v>
      </c>
      <c r="J783" s="25">
        <f t="shared" si="742"/>
        <v>0</v>
      </c>
      <c r="K783" s="26" t="s">
        <v>53</v>
      </c>
      <c r="Z783" s="25">
        <f t="shared" si="743"/>
        <v>0</v>
      </c>
      <c r="AB783" s="25">
        <f t="shared" si="744"/>
        <v>0</v>
      </c>
      <c r="AC783" s="25">
        <f t="shared" si="745"/>
        <v>0</v>
      </c>
      <c r="AD783" s="25">
        <f t="shared" si="746"/>
        <v>0</v>
      </c>
      <c r="AE783" s="25">
        <f t="shared" si="747"/>
        <v>0</v>
      </c>
      <c r="AF783" s="25">
        <f t="shared" si="748"/>
        <v>0</v>
      </c>
      <c r="AG783" s="25">
        <f t="shared" si="749"/>
        <v>0</v>
      </c>
      <c r="AH783" s="25">
        <f t="shared" si="750"/>
        <v>0</v>
      </c>
      <c r="AI783" s="11" t="s">
        <v>46</v>
      </c>
      <c r="AJ783" s="25">
        <f t="shared" si="751"/>
        <v>0</v>
      </c>
      <c r="AK783" s="25">
        <f t="shared" si="752"/>
        <v>0</v>
      </c>
      <c r="AL783" s="25">
        <f t="shared" si="753"/>
        <v>0</v>
      </c>
      <c r="AN783" s="25">
        <v>21</v>
      </c>
      <c r="AO783" s="25">
        <f>G783*0</f>
        <v>0</v>
      </c>
      <c r="AP783" s="25">
        <f>G783*(1-0)</f>
        <v>0</v>
      </c>
      <c r="AQ783" s="27" t="s">
        <v>58</v>
      </c>
      <c r="AV783" s="25">
        <f t="shared" si="754"/>
        <v>0</v>
      </c>
      <c r="AW783" s="25">
        <f t="shared" si="755"/>
        <v>0</v>
      </c>
      <c r="AX783" s="25">
        <f t="shared" si="756"/>
        <v>0</v>
      </c>
      <c r="AY783" s="27" t="s">
        <v>2299</v>
      </c>
      <c r="AZ783" s="27" t="s">
        <v>305</v>
      </c>
      <c r="BA783" s="11" t="s">
        <v>56</v>
      </c>
      <c r="BC783" s="25">
        <f t="shared" si="757"/>
        <v>0</v>
      </c>
      <c r="BD783" s="25">
        <f t="shared" si="758"/>
        <v>0</v>
      </c>
      <c r="BE783" s="25">
        <v>0</v>
      </c>
      <c r="BF783" s="25">
        <f>783</f>
        <v>783</v>
      </c>
      <c r="BH783" s="25">
        <f t="shared" si="759"/>
        <v>0</v>
      </c>
      <c r="BI783" s="25">
        <f t="shared" si="760"/>
        <v>0</v>
      </c>
      <c r="BJ783" s="25">
        <f t="shared" si="761"/>
        <v>0</v>
      </c>
      <c r="BK783" s="27" t="s">
        <v>57</v>
      </c>
      <c r="BL783" s="25"/>
      <c r="BW783" s="25">
        <v>21</v>
      </c>
      <c r="BX783" s="5" t="s">
        <v>2234</v>
      </c>
    </row>
    <row r="784" spans="1:76" x14ac:dyDescent="0.25">
      <c r="A784" s="2" t="s">
        <v>2339</v>
      </c>
      <c r="B784" s="3" t="s">
        <v>2340</v>
      </c>
      <c r="C784" s="93" t="s">
        <v>2237</v>
      </c>
      <c r="D784" s="94"/>
      <c r="E784" s="3" t="s">
        <v>52</v>
      </c>
      <c r="F784" s="25">
        <v>1</v>
      </c>
      <c r="G784" s="25">
        <v>0</v>
      </c>
      <c r="H784" s="25">
        <f t="shared" si="740"/>
        <v>0</v>
      </c>
      <c r="I784" s="25">
        <f t="shared" si="741"/>
        <v>0</v>
      </c>
      <c r="J784" s="25">
        <f t="shared" si="742"/>
        <v>0</v>
      </c>
      <c r="K784" s="26" t="s">
        <v>53</v>
      </c>
      <c r="Z784" s="25">
        <f t="shared" si="743"/>
        <v>0</v>
      </c>
      <c r="AB784" s="25">
        <f t="shared" si="744"/>
        <v>0</v>
      </c>
      <c r="AC784" s="25">
        <f t="shared" si="745"/>
        <v>0</v>
      </c>
      <c r="AD784" s="25">
        <f t="shared" si="746"/>
        <v>0</v>
      </c>
      <c r="AE784" s="25">
        <f t="shared" si="747"/>
        <v>0</v>
      </c>
      <c r="AF784" s="25">
        <f t="shared" si="748"/>
        <v>0</v>
      </c>
      <c r="AG784" s="25">
        <f t="shared" si="749"/>
        <v>0</v>
      </c>
      <c r="AH784" s="25">
        <f t="shared" si="750"/>
        <v>0</v>
      </c>
      <c r="AI784" s="11" t="s">
        <v>46</v>
      </c>
      <c r="AJ784" s="25">
        <f t="shared" si="751"/>
        <v>0</v>
      </c>
      <c r="AK784" s="25">
        <f t="shared" si="752"/>
        <v>0</v>
      </c>
      <c r="AL784" s="25">
        <f t="shared" si="753"/>
        <v>0</v>
      </c>
      <c r="AN784" s="25">
        <v>21</v>
      </c>
      <c r="AO784" s="25">
        <f>G784*0</f>
        <v>0</v>
      </c>
      <c r="AP784" s="25">
        <f>G784*(1-0)</f>
        <v>0</v>
      </c>
      <c r="AQ784" s="27" t="s">
        <v>58</v>
      </c>
      <c r="AV784" s="25">
        <f t="shared" si="754"/>
        <v>0</v>
      </c>
      <c r="AW784" s="25">
        <f t="shared" si="755"/>
        <v>0</v>
      </c>
      <c r="AX784" s="25">
        <f t="shared" si="756"/>
        <v>0</v>
      </c>
      <c r="AY784" s="27" t="s">
        <v>2299</v>
      </c>
      <c r="AZ784" s="27" t="s">
        <v>305</v>
      </c>
      <c r="BA784" s="11" t="s">
        <v>56</v>
      </c>
      <c r="BC784" s="25">
        <f t="shared" si="757"/>
        <v>0</v>
      </c>
      <c r="BD784" s="25">
        <f t="shared" si="758"/>
        <v>0</v>
      </c>
      <c r="BE784" s="25">
        <v>0</v>
      </c>
      <c r="BF784" s="25">
        <f>784</f>
        <v>784</v>
      </c>
      <c r="BH784" s="25">
        <f t="shared" si="759"/>
        <v>0</v>
      </c>
      <c r="BI784" s="25">
        <f t="shared" si="760"/>
        <v>0</v>
      </c>
      <c r="BJ784" s="25">
        <f t="shared" si="761"/>
        <v>0</v>
      </c>
      <c r="BK784" s="27" t="s">
        <v>57</v>
      </c>
      <c r="BL784" s="25"/>
      <c r="BW784" s="25">
        <v>21</v>
      </c>
      <c r="BX784" s="5" t="s">
        <v>2237</v>
      </c>
    </row>
    <row r="785" spans="1:76" x14ac:dyDescent="0.25">
      <c r="A785" s="2" t="s">
        <v>2341</v>
      </c>
      <c r="B785" s="3" t="s">
        <v>2342</v>
      </c>
      <c r="C785" s="93" t="s">
        <v>2240</v>
      </c>
      <c r="D785" s="94"/>
      <c r="E785" s="3" t="s">
        <v>52</v>
      </c>
      <c r="F785" s="25">
        <v>1</v>
      </c>
      <c r="G785" s="25">
        <v>0</v>
      </c>
      <c r="H785" s="25">
        <f t="shared" si="740"/>
        <v>0</v>
      </c>
      <c r="I785" s="25">
        <f t="shared" si="741"/>
        <v>0</v>
      </c>
      <c r="J785" s="25">
        <f t="shared" si="742"/>
        <v>0</v>
      </c>
      <c r="K785" s="26" t="s">
        <v>53</v>
      </c>
      <c r="Z785" s="25">
        <f t="shared" si="743"/>
        <v>0</v>
      </c>
      <c r="AB785" s="25">
        <f t="shared" si="744"/>
        <v>0</v>
      </c>
      <c r="AC785" s="25">
        <f t="shared" si="745"/>
        <v>0</v>
      </c>
      <c r="AD785" s="25">
        <f t="shared" si="746"/>
        <v>0</v>
      </c>
      <c r="AE785" s="25">
        <f t="shared" si="747"/>
        <v>0</v>
      </c>
      <c r="AF785" s="25">
        <f t="shared" si="748"/>
        <v>0</v>
      </c>
      <c r="AG785" s="25">
        <f t="shared" si="749"/>
        <v>0</v>
      </c>
      <c r="AH785" s="25">
        <f t="shared" si="750"/>
        <v>0</v>
      </c>
      <c r="AI785" s="11" t="s">
        <v>46</v>
      </c>
      <c r="AJ785" s="25">
        <f t="shared" si="751"/>
        <v>0</v>
      </c>
      <c r="AK785" s="25">
        <f t="shared" si="752"/>
        <v>0</v>
      </c>
      <c r="AL785" s="25">
        <f t="shared" si="753"/>
        <v>0</v>
      </c>
      <c r="AN785" s="25">
        <v>21</v>
      </c>
      <c r="AO785" s="25">
        <f>G785*1</f>
        <v>0</v>
      </c>
      <c r="AP785" s="25">
        <f>G785*(1-1)</f>
        <v>0</v>
      </c>
      <c r="AQ785" s="27" t="s">
        <v>58</v>
      </c>
      <c r="AV785" s="25">
        <f t="shared" si="754"/>
        <v>0</v>
      </c>
      <c r="AW785" s="25">
        <f t="shared" si="755"/>
        <v>0</v>
      </c>
      <c r="AX785" s="25">
        <f t="shared" si="756"/>
        <v>0</v>
      </c>
      <c r="AY785" s="27" t="s">
        <v>2299</v>
      </c>
      <c r="AZ785" s="27" t="s">
        <v>305</v>
      </c>
      <c r="BA785" s="11" t="s">
        <v>56</v>
      </c>
      <c r="BC785" s="25">
        <f t="shared" si="757"/>
        <v>0</v>
      </c>
      <c r="BD785" s="25">
        <f t="shared" si="758"/>
        <v>0</v>
      </c>
      <c r="BE785" s="25">
        <v>0</v>
      </c>
      <c r="BF785" s="25">
        <f>785</f>
        <v>785</v>
      </c>
      <c r="BH785" s="25">
        <f t="shared" si="759"/>
        <v>0</v>
      </c>
      <c r="BI785" s="25">
        <f t="shared" si="760"/>
        <v>0</v>
      </c>
      <c r="BJ785" s="25">
        <f t="shared" si="761"/>
        <v>0</v>
      </c>
      <c r="BK785" s="27" t="s">
        <v>57</v>
      </c>
      <c r="BL785" s="25"/>
      <c r="BW785" s="25">
        <v>21</v>
      </c>
      <c r="BX785" s="5" t="s">
        <v>2240</v>
      </c>
    </row>
    <row r="786" spans="1:76" x14ac:dyDescent="0.25">
      <c r="A786" s="28" t="s">
        <v>46</v>
      </c>
      <c r="B786" s="29" t="s">
        <v>2343</v>
      </c>
      <c r="C786" s="150" t="s">
        <v>2344</v>
      </c>
      <c r="D786" s="151"/>
      <c r="E786" s="30" t="s">
        <v>4</v>
      </c>
      <c r="F786" s="30" t="s">
        <v>4</v>
      </c>
      <c r="G786" s="30" t="s">
        <v>4</v>
      </c>
      <c r="H786" s="1">
        <f>ROUND(SUM(H787:H800),1)</f>
        <v>0</v>
      </c>
      <c r="I786" s="1">
        <f>ROUND(SUM(I787:I800),1)</f>
        <v>0</v>
      </c>
      <c r="J786" s="1">
        <f>ROUND(SUM(J787:J800),1)</f>
        <v>0</v>
      </c>
      <c r="K786" s="31" t="s">
        <v>46</v>
      </c>
      <c r="AI786" s="11" t="s">
        <v>46</v>
      </c>
      <c r="AS786" s="1">
        <f>SUM(AJ787:AJ800)</f>
        <v>0</v>
      </c>
      <c r="AT786" s="1">
        <f>SUM(AK787:AK800)</f>
        <v>0</v>
      </c>
      <c r="AU786" s="1">
        <f>SUM(AL787:AL800)</f>
        <v>0</v>
      </c>
    </row>
    <row r="787" spans="1:76" x14ac:dyDescent="0.25">
      <c r="A787" s="2" t="s">
        <v>2345</v>
      </c>
      <c r="B787" s="3" t="s">
        <v>2346</v>
      </c>
      <c r="C787" s="93" t="s">
        <v>2347</v>
      </c>
      <c r="D787" s="94"/>
      <c r="E787" s="3" t="s">
        <v>52</v>
      </c>
      <c r="F787" s="25">
        <v>15</v>
      </c>
      <c r="G787" s="25">
        <v>0</v>
      </c>
      <c r="H787" s="25">
        <f t="shared" ref="H787:H800" si="762">ROUND(F787*AO787,2)</f>
        <v>0</v>
      </c>
      <c r="I787" s="25">
        <f t="shared" ref="I787:I800" si="763">ROUND(F787*AP787,2)</f>
        <v>0</v>
      </c>
      <c r="J787" s="25">
        <f t="shared" ref="J787:J800" si="764">ROUND(F787*G787,1)</f>
        <v>0</v>
      </c>
      <c r="K787" s="26" t="s">
        <v>53</v>
      </c>
      <c r="Z787" s="25">
        <f t="shared" ref="Z787:Z800" si="765">ROUND(IF(AQ787="5",BJ787,0),2)</f>
        <v>0</v>
      </c>
      <c r="AB787" s="25">
        <f t="shared" ref="AB787:AB800" si="766">ROUND(IF(AQ787="1",BH787,0),2)</f>
        <v>0</v>
      </c>
      <c r="AC787" s="25">
        <f t="shared" ref="AC787:AC800" si="767">ROUND(IF(AQ787="1",BI787,0),2)</f>
        <v>0</v>
      </c>
      <c r="AD787" s="25">
        <f t="shared" ref="AD787:AD800" si="768">ROUND(IF(AQ787="7",BH787,0),2)</f>
        <v>0</v>
      </c>
      <c r="AE787" s="25">
        <f t="shared" ref="AE787:AE800" si="769">ROUND(IF(AQ787="7",BI787,0),2)</f>
        <v>0</v>
      </c>
      <c r="AF787" s="25">
        <f t="shared" ref="AF787:AF800" si="770">ROUND(IF(AQ787="2",BH787,0),2)</f>
        <v>0</v>
      </c>
      <c r="AG787" s="25">
        <f t="shared" ref="AG787:AG800" si="771">ROUND(IF(AQ787="2",BI787,0),2)</f>
        <v>0</v>
      </c>
      <c r="AH787" s="25">
        <f t="shared" ref="AH787:AH800" si="772">ROUND(IF(AQ787="0",BJ787,0),2)</f>
        <v>0</v>
      </c>
      <c r="AI787" s="11" t="s">
        <v>46</v>
      </c>
      <c r="AJ787" s="25">
        <f t="shared" ref="AJ787:AJ800" si="773">IF(AN787=0,J787,0)</f>
        <v>0</v>
      </c>
      <c r="AK787" s="25">
        <f t="shared" ref="AK787:AK800" si="774">IF(AN787=12,J787,0)</f>
        <v>0</v>
      </c>
      <c r="AL787" s="25">
        <f t="shared" ref="AL787:AL800" si="775">IF(AN787=21,J787,0)</f>
        <v>0</v>
      </c>
      <c r="AN787" s="25">
        <v>21</v>
      </c>
      <c r="AO787" s="25">
        <f>G787*0.57</f>
        <v>0</v>
      </c>
      <c r="AP787" s="25">
        <f>G787*(1-0.57)</f>
        <v>0</v>
      </c>
      <c r="AQ787" s="27" t="s">
        <v>58</v>
      </c>
      <c r="AV787" s="25">
        <f t="shared" ref="AV787:AV800" si="776">ROUND(AW787+AX787,2)</f>
        <v>0</v>
      </c>
      <c r="AW787" s="25">
        <f t="shared" ref="AW787:AW800" si="777">ROUND(F787*AO787,2)</f>
        <v>0</v>
      </c>
      <c r="AX787" s="25">
        <f t="shared" ref="AX787:AX800" si="778">ROUND(F787*AP787,2)</f>
        <v>0</v>
      </c>
      <c r="AY787" s="27" t="s">
        <v>2348</v>
      </c>
      <c r="AZ787" s="27" t="s">
        <v>305</v>
      </c>
      <c r="BA787" s="11" t="s">
        <v>56</v>
      </c>
      <c r="BC787" s="25">
        <f t="shared" ref="BC787:BC800" si="779">AW787+AX787</f>
        <v>0</v>
      </c>
      <c r="BD787" s="25">
        <f t="shared" ref="BD787:BD800" si="780">G787/(100-BE787)*100</f>
        <v>0</v>
      </c>
      <c r="BE787" s="25">
        <v>0</v>
      </c>
      <c r="BF787" s="25">
        <f>787</f>
        <v>787</v>
      </c>
      <c r="BH787" s="25">
        <f t="shared" ref="BH787:BH800" si="781">F787*AO787</f>
        <v>0</v>
      </c>
      <c r="BI787" s="25">
        <f t="shared" ref="BI787:BI800" si="782">F787*AP787</f>
        <v>0</v>
      </c>
      <c r="BJ787" s="25">
        <f t="shared" ref="BJ787:BJ800" si="783">F787*G787</f>
        <v>0</v>
      </c>
      <c r="BK787" s="27" t="s">
        <v>57</v>
      </c>
      <c r="BL787" s="25"/>
      <c r="BW787" s="25">
        <v>21</v>
      </c>
      <c r="BX787" s="5" t="s">
        <v>2347</v>
      </c>
    </row>
    <row r="788" spans="1:76" x14ac:dyDescent="0.25">
      <c r="A788" s="2" t="s">
        <v>2349</v>
      </c>
      <c r="B788" s="3" t="s">
        <v>2350</v>
      </c>
      <c r="C788" s="93" t="s">
        <v>2351</v>
      </c>
      <c r="D788" s="94"/>
      <c r="E788" s="3" t="s">
        <v>52</v>
      </c>
      <c r="F788" s="25">
        <v>10</v>
      </c>
      <c r="G788" s="25">
        <v>0</v>
      </c>
      <c r="H788" s="25">
        <f t="shared" si="762"/>
        <v>0</v>
      </c>
      <c r="I788" s="25">
        <f t="shared" si="763"/>
        <v>0</v>
      </c>
      <c r="J788" s="25">
        <f t="shared" si="764"/>
        <v>0</v>
      </c>
      <c r="K788" s="26" t="s">
        <v>53</v>
      </c>
      <c r="Z788" s="25">
        <f t="shared" si="765"/>
        <v>0</v>
      </c>
      <c r="AB788" s="25">
        <f t="shared" si="766"/>
        <v>0</v>
      </c>
      <c r="AC788" s="25">
        <f t="shared" si="767"/>
        <v>0</v>
      </c>
      <c r="AD788" s="25">
        <f t="shared" si="768"/>
        <v>0</v>
      </c>
      <c r="AE788" s="25">
        <f t="shared" si="769"/>
        <v>0</v>
      </c>
      <c r="AF788" s="25">
        <f t="shared" si="770"/>
        <v>0</v>
      </c>
      <c r="AG788" s="25">
        <f t="shared" si="771"/>
        <v>0</v>
      </c>
      <c r="AH788" s="25">
        <f t="shared" si="772"/>
        <v>0</v>
      </c>
      <c r="AI788" s="11" t="s">
        <v>46</v>
      </c>
      <c r="AJ788" s="25">
        <f t="shared" si="773"/>
        <v>0</v>
      </c>
      <c r="AK788" s="25">
        <f t="shared" si="774"/>
        <v>0</v>
      </c>
      <c r="AL788" s="25">
        <f t="shared" si="775"/>
        <v>0</v>
      </c>
      <c r="AN788" s="25">
        <v>21</v>
      </c>
      <c r="AO788" s="25">
        <f>G788*0.57</f>
        <v>0</v>
      </c>
      <c r="AP788" s="25">
        <f>G788*(1-0.57)</f>
        <v>0</v>
      </c>
      <c r="AQ788" s="27" t="s">
        <v>58</v>
      </c>
      <c r="AV788" s="25">
        <f t="shared" si="776"/>
        <v>0</v>
      </c>
      <c r="AW788" s="25">
        <f t="shared" si="777"/>
        <v>0</v>
      </c>
      <c r="AX788" s="25">
        <f t="shared" si="778"/>
        <v>0</v>
      </c>
      <c r="AY788" s="27" t="s">
        <v>2348</v>
      </c>
      <c r="AZ788" s="27" t="s">
        <v>305</v>
      </c>
      <c r="BA788" s="11" t="s">
        <v>56</v>
      </c>
      <c r="BC788" s="25">
        <f t="shared" si="779"/>
        <v>0</v>
      </c>
      <c r="BD788" s="25">
        <f t="shared" si="780"/>
        <v>0</v>
      </c>
      <c r="BE788" s="25">
        <v>0</v>
      </c>
      <c r="BF788" s="25">
        <f>788</f>
        <v>788</v>
      </c>
      <c r="BH788" s="25">
        <f t="shared" si="781"/>
        <v>0</v>
      </c>
      <c r="BI788" s="25">
        <f t="shared" si="782"/>
        <v>0</v>
      </c>
      <c r="BJ788" s="25">
        <f t="shared" si="783"/>
        <v>0</v>
      </c>
      <c r="BK788" s="27" t="s">
        <v>57</v>
      </c>
      <c r="BL788" s="25"/>
      <c r="BW788" s="25">
        <v>21</v>
      </c>
      <c r="BX788" s="5" t="s">
        <v>2351</v>
      </c>
    </row>
    <row r="789" spans="1:76" x14ac:dyDescent="0.25">
      <c r="A789" s="2" t="s">
        <v>2352</v>
      </c>
      <c r="B789" s="3" t="s">
        <v>2353</v>
      </c>
      <c r="C789" s="93" t="s">
        <v>2354</v>
      </c>
      <c r="D789" s="94"/>
      <c r="E789" s="3" t="s">
        <v>131</v>
      </c>
      <c r="F789" s="25">
        <v>250</v>
      </c>
      <c r="G789" s="25">
        <v>0</v>
      </c>
      <c r="H789" s="25">
        <f t="shared" si="762"/>
        <v>0</v>
      </c>
      <c r="I789" s="25">
        <f t="shared" si="763"/>
        <v>0</v>
      </c>
      <c r="J789" s="25">
        <f t="shared" si="764"/>
        <v>0</v>
      </c>
      <c r="K789" s="26" t="s">
        <v>53</v>
      </c>
      <c r="Z789" s="25">
        <f t="shared" si="765"/>
        <v>0</v>
      </c>
      <c r="AB789" s="25">
        <f t="shared" si="766"/>
        <v>0</v>
      </c>
      <c r="AC789" s="25">
        <f t="shared" si="767"/>
        <v>0</v>
      </c>
      <c r="AD789" s="25">
        <f t="shared" si="768"/>
        <v>0</v>
      </c>
      <c r="AE789" s="25">
        <f t="shared" si="769"/>
        <v>0</v>
      </c>
      <c r="AF789" s="25">
        <f t="shared" si="770"/>
        <v>0</v>
      </c>
      <c r="AG789" s="25">
        <f t="shared" si="771"/>
        <v>0</v>
      </c>
      <c r="AH789" s="25">
        <f t="shared" si="772"/>
        <v>0</v>
      </c>
      <c r="AI789" s="11" t="s">
        <v>46</v>
      </c>
      <c r="AJ789" s="25">
        <f t="shared" si="773"/>
        <v>0</v>
      </c>
      <c r="AK789" s="25">
        <f t="shared" si="774"/>
        <v>0</v>
      </c>
      <c r="AL789" s="25">
        <f t="shared" si="775"/>
        <v>0</v>
      </c>
      <c r="AN789" s="25">
        <v>21</v>
      </c>
      <c r="AO789" s="25">
        <f>G789*0.569983254</f>
        <v>0</v>
      </c>
      <c r="AP789" s="25">
        <f>G789*(1-0.569983254)</f>
        <v>0</v>
      </c>
      <c r="AQ789" s="27" t="s">
        <v>58</v>
      </c>
      <c r="AV789" s="25">
        <f t="shared" si="776"/>
        <v>0</v>
      </c>
      <c r="AW789" s="25">
        <f t="shared" si="777"/>
        <v>0</v>
      </c>
      <c r="AX789" s="25">
        <f t="shared" si="778"/>
        <v>0</v>
      </c>
      <c r="AY789" s="27" t="s">
        <v>2348</v>
      </c>
      <c r="AZ789" s="27" t="s">
        <v>305</v>
      </c>
      <c r="BA789" s="11" t="s">
        <v>56</v>
      </c>
      <c r="BC789" s="25">
        <f t="shared" si="779"/>
        <v>0</v>
      </c>
      <c r="BD789" s="25">
        <f t="shared" si="780"/>
        <v>0</v>
      </c>
      <c r="BE789" s="25">
        <v>0</v>
      </c>
      <c r="BF789" s="25">
        <f>789</f>
        <v>789</v>
      </c>
      <c r="BH789" s="25">
        <f t="shared" si="781"/>
        <v>0</v>
      </c>
      <c r="BI789" s="25">
        <f t="shared" si="782"/>
        <v>0</v>
      </c>
      <c r="BJ789" s="25">
        <f t="shared" si="783"/>
        <v>0</v>
      </c>
      <c r="BK789" s="27" t="s">
        <v>57</v>
      </c>
      <c r="BL789" s="25"/>
      <c r="BW789" s="25">
        <v>21</v>
      </c>
      <c r="BX789" s="5" t="s">
        <v>2354</v>
      </c>
    </row>
    <row r="790" spans="1:76" x14ac:dyDescent="0.25">
      <c r="A790" s="2" t="s">
        <v>2355</v>
      </c>
      <c r="B790" s="3" t="s">
        <v>2356</v>
      </c>
      <c r="C790" s="93" t="s">
        <v>2357</v>
      </c>
      <c r="D790" s="94"/>
      <c r="E790" s="3" t="s">
        <v>131</v>
      </c>
      <c r="F790" s="25">
        <v>50</v>
      </c>
      <c r="G790" s="25">
        <v>0</v>
      </c>
      <c r="H790" s="25">
        <f t="shared" si="762"/>
        <v>0</v>
      </c>
      <c r="I790" s="25">
        <f t="shared" si="763"/>
        <v>0</v>
      </c>
      <c r="J790" s="25">
        <f t="shared" si="764"/>
        <v>0</v>
      </c>
      <c r="K790" s="26" t="s">
        <v>53</v>
      </c>
      <c r="Z790" s="25">
        <f t="shared" si="765"/>
        <v>0</v>
      </c>
      <c r="AB790" s="25">
        <f t="shared" si="766"/>
        <v>0</v>
      </c>
      <c r="AC790" s="25">
        <f t="shared" si="767"/>
        <v>0</v>
      </c>
      <c r="AD790" s="25">
        <f t="shared" si="768"/>
        <v>0</v>
      </c>
      <c r="AE790" s="25">
        <f t="shared" si="769"/>
        <v>0</v>
      </c>
      <c r="AF790" s="25">
        <f t="shared" si="770"/>
        <v>0</v>
      </c>
      <c r="AG790" s="25">
        <f t="shared" si="771"/>
        <v>0</v>
      </c>
      <c r="AH790" s="25">
        <f t="shared" si="772"/>
        <v>0</v>
      </c>
      <c r="AI790" s="11" t="s">
        <v>46</v>
      </c>
      <c r="AJ790" s="25">
        <f t="shared" si="773"/>
        <v>0</v>
      </c>
      <c r="AK790" s="25">
        <f t="shared" si="774"/>
        <v>0</v>
      </c>
      <c r="AL790" s="25">
        <f t="shared" si="775"/>
        <v>0</v>
      </c>
      <c r="AN790" s="25">
        <v>21</v>
      </c>
      <c r="AO790" s="25">
        <f>G790*0.570038928</f>
        <v>0</v>
      </c>
      <c r="AP790" s="25">
        <f>G790*(1-0.570038928)</f>
        <v>0</v>
      </c>
      <c r="AQ790" s="27" t="s">
        <v>58</v>
      </c>
      <c r="AV790" s="25">
        <f t="shared" si="776"/>
        <v>0</v>
      </c>
      <c r="AW790" s="25">
        <f t="shared" si="777"/>
        <v>0</v>
      </c>
      <c r="AX790" s="25">
        <f t="shared" si="778"/>
        <v>0</v>
      </c>
      <c r="AY790" s="27" t="s">
        <v>2348</v>
      </c>
      <c r="AZ790" s="27" t="s">
        <v>305</v>
      </c>
      <c r="BA790" s="11" t="s">
        <v>56</v>
      </c>
      <c r="BC790" s="25">
        <f t="shared" si="779"/>
        <v>0</v>
      </c>
      <c r="BD790" s="25">
        <f t="shared" si="780"/>
        <v>0</v>
      </c>
      <c r="BE790" s="25">
        <v>0</v>
      </c>
      <c r="BF790" s="25">
        <f>790</f>
        <v>790</v>
      </c>
      <c r="BH790" s="25">
        <f t="shared" si="781"/>
        <v>0</v>
      </c>
      <c r="BI790" s="25">
        <f t="shared" si="782"/>
        <v>0</v>
      </c>
      <c r="BJ790" s="25">
        <f t="shared" si="783"/>
        <v>0</v>
      </c>
      <c r="BK790" s="27" t="s">
        <v>57</v>
      </c>
      <c r="BL790" s="25"/>
      <c r="BW790" s="25">
        <v>21</v>
      </c>
      <c r="BX790" s="5" t="s">
        <v>2357</v>
      </c>
    </row>
    <row r="791" spans="1:76" x14ac:dyDescent="0.25">
      <c r="A791" s="2" t="s">
        <v>2358</v>
      </c>
      <c r="B791" s="3" t="s">
        <v>2359</v>
      </c>
      <c r="C791" s="93" t="s">
        <v>2186</v>
      </c>
      <c r="D791" s="94"/>
      <c r="E791" s="3" t="s">
        <v>131</v>
      </c>
      <c r="F791" s="25">
        <v>25</v>
      </c>
      <c r="G791" s="25">
        <v>0</v>
      </c>
      <c r="H791" s="25">
        <f t="shared" si="762"/>
        <v>0</v>
      </c>
      <c r="I791" s="25">
        <f t="shared" si="763"/>
        <v>0</v>
      </c>
      <c r="J791" s="25">
        <f t="shared" si="764"/>
        <v>0</v>
      </c>
      <c r="K791" s="26" t="s">
        <v>53</v>
      </c>
      <c r="Z791" s="25">
        <f t="shared" si="765"/>
        <v>0</v>
      </c>
      <c r="AB791" s="25">
        <f t="shared" si="766"/>
        <v>0</v>
      </c>
      <c r="AC791" s="25">
        <f t="shared" si="767"/>
        <v>0</v>
      </c>
      <c r="AD791" s="25">
        <f t="shared" si="768"/>
        <v>0</v>
      </c>
      <c r="AE791" s="25">
        <f t="shared" si="769"/>
        <v>0</v>
      </c>
      <c r="AF791" s="25">
        <f t="shared" si="770"/>
        <v>0</v>
      </c>
      <c r="AG791" s="25">
        <f t="shared" si="771"/>
        <v>0</v>
      </c>
      <c r="AH791" s="25">
        <f t="shared" si="772"/>
        <v>0</v>
      </c>
      <c r="AI791" s="11" t="s">
        <v>46</v>
      </c>
      <c r="AJ791" s="25">
        <f t="shared" si="773"/>
        <v>0</v>
      </c>
      <c r="AK791" s="25">
        <f t="shared" si="774"/>
        <v>0</v>
      </c>
      <c r="AL791" s="25">
        <f t="shared" si="775"/>
        <v>0</v>
      </c>
      <c r="AN791" s="25">
        <v>21</v>
      </c>
      <c r="AO791" s="25">
        <f>G791*0.569841007</f>
        <v>0</v>
      </c>
      <c r="AP791" s="25">
        <f>G791*(1-0.569841007)</f>
        <v>0</v>
      </c>
      <c r="AQ791" s="27" t="s">
        <v>58</v>
      </c>
      <c r="AV791" s="25">
        <f t="shared" si="776"/>
        <v>0</v>
      </c>
      <c r="AW791" s="25">
        <f t="shared" si="777"/>
        <v>0</v>
      </c>
      <c r="AX791" s="25">
        <f t="shared" si="778"/>
        <v>0</v>
      </c>
      <c r="AY791" s="27" t="s">
        <v>2348</v>
      </c>
      <c r="AZ791" s="27" t="s">
        <v>305</v>
      </c>
      <c r="BA791" s="11" t="s">
        <v>56</v>
      </c>
      <c r="BC791" s="25">
        <f t="shared" si="779"/>
        <v>0</v>
      </c>
      <c r="BD791" s="25">
        <f t="shared" si="780"/>
        <v>0</v>
      </c>
      <c r="BE791" s="25">
        <v>0</v>
      </c>
      <c r="BF791" s="25">
        <f>791</f>
        <v>791</v>
      </c>
      <c r="BH791" s="25">
        <f t="shared" si="781"/>
        <v>0</v>
      </c>
      <c r="BI791" s="25">
        <f t="shared" si="782"/>
        <v>0</v>
      </c>
      <c r="BJ791" s="25">
        <f t="shared" si="783"/>
        <v>0</v>
      </c>
      <c r="BK791" s="27" t="s">
        <v>57</v>
      </c>
      <c r="BL791" s="25"/>
      <c r="BW791" s="25">
        <v>21</v>
      </c>
      <c r="BX791" s="5" t="s">
        <v>2186</v>
      </c>
    </row>
    <row r="792" spans="1:76" x14ac:dyDescent="0.25">
      <c r="A792" s="2" t="s">
        <v>2360</v>
      </c>
      <c r="B792" s="3" t="s">
        <v>2361</v>
      </c>
      <c r="C792" s="93" t="s">
        <v>2272</v>
      </c>
      <c r="D792" s="94"/>
      <c r="E792" s="3" t="s">
        <v>52</v>
      </c>
      <c r="F792" s="25">
        <v>15</v>
      </c>
      <c r="G792" s="25">
        <v>0</v>
      </c>
      <c r="H792" s="25">
        <f t="shared" si="762"/>
        <v>0</v>
      </c>
      <c r="I792" s="25">
        <f t="shared" si="763"/>
        <v>0</v>
      </c>
      <c r="J792" s="25">
        <f t="shared" si="764"/>
        <v>0</v>
      </c>
      <c r="K792" s="26" t="s">
        <v>53</v>
      </c>
      <c r="Z792" s="25">
        <f t="shared" si="765"/>
        <v>0</v>
      </c>
      <c r="AB792" s="25">
        <f t="shared" si="766"/>
        <v>0</v>
      </c>
      <c r="AC792" s="25">
        <f t="shared" si="767"/>
        <v>0</v>
      </c>
      <c r="AD792" s="25">
        <f t="shared" si="768"/>
        <v>0</v>
      </c>
      <c r="AE792" s="25">
        <f t="shared" si="769"/>
        <v>0</v>
      </c>
      <c r="AF792" s="25">
        <f t="shared" si="770"/>
        <v>0</v>
      </c>
      <c r="AG792" s="25">
        <f t="shared" si="771"/>
        <v>0</v>
      </c>
      <c r="AH792" s="25">
        <f t="shared" si="772"/>
        <v>0</v>
      </c>
      <c r="AI792" s="11" t="s">
        <v>46</v>
      </c>
      <c r="AJ792" s="25">
        <f t="shared" si="773"/>
        <v>0</v>
      </c>
      <c r="AK792" s="25">
        <f t="shared" si="774"/>
        <v>0</v>
      </c>
      <c r="AL792" s="25">
        <f t="shared" si="775"/>
        <v>0</v>
      </c>
      <c r="AN792" s="25">
        <v>21</v>
      </c>
      <c r="AO792" s="25">
        <f>G792*0.569972912</f>
        <v>0</v>
      </c>
      <c r="AP792" s="25">
        <f>G792*(1-0.569972912)</f>
        <v>0</v>
      </c>
      <c r="AQ792" s="27" t="s">
        <v>58</v>
      </c>
      <c r="AV792" s="25">
        <f t="shared" si="776"/>
        <v>0</v>
      </c>
      <c r="AW792" s="25">
        <f t="shared" si="777"/>
        <v>0</v>
      </c>
      <c r="AX792" s="25">
        <f t="shared" si="778"/>
        <v>0</v>
      </c>
      <c r="AY792" s="27" t="s">
        <v>2348</v>
      </c>
      <c r="AZ792" s="27" t="s">
        <v>305</v>
      </c>
      <c r="BA792" s="11" t="s">
        <v>56</v>
      </c>
      <c r="BC792" s="25">
        <f t="shared" si="779"/>
        <v>0</v>
      </c>
      <c r="BD792" s="25">
        <f t="shared" si="780"/>
        <v>0</v>
      </c>
      <c r="BE792" s="25">
        <v>0</v>
      </c>
      <c r="BF792" s="25">
        <f>792</f>
        <v>792</v>
      </c>
      <c r="BH792" s="25">
        <f t="shared" si="781"/>
        <v>0</v>
      </c>
      <c r="BI792" s="25">
        <f t="shared" si="782"/>
        <v>0</v>
      </c>
      <c r="BJ792" s="25">
        <f t="shared" si="783"/>
        <v>0</v>
      </c>
      <c r="BK792" s="27" t="s">
        <v>57</v>
      </c>
      <c r="BL792" s="25"/>
      <c r="BW792" s="25">
        <v>21</v>
      </c>
      <c r="BX792" s="5" t="s">
        <v>2272</v>
      </c>
    </row>
    <row r="793" spans="1:76" x14ac:dyDescent="0.25">
      <c r="A793" s="2" t="s">
        <v>2362</v>
      </c>
      <c r="B793" s="3" t="s">
        <v>2363</v>
      </c>
      <c r="C793" s="93" t="s">
        <v>2195</v>
      </c>
      <c r="D793" s="94"/>
      <c r="E793" s="3" t="s">
        <v>52</v>
      </c>
      <c r="F793" s="25">
        <v>15</v>
      </c>
      <c r="G793" s="25">
        <v>0</v>
      </c>
      <c r="H793" s="25">
        <f t="shared" si="762"/>
        <v>0</v>
      </c>
      <c r="I793" s="25">
        <f t="shared" si="763"/>
        <v>0</v>
      </c>
      <c r="J793" s="25">
        <f t="shared" si="764"/>
        <v>0</v>
      </c>
      <c r="K793" s="26" t="s">
        <v>53</v>
      </c>
      <c r="Z793" s="25">
        <f t="shared" si="765"/>
        <v>0</v>
      </c>
      <c r="AB793" s="25">
        <f t="shared" si="766"/>
        <v>0</v>
      </c>
      <c r="AC793" s="25">
        <f t="shared" si="767"/>
        <v>0</v>
      </c>
      <c r="AD793" s="25">
        <f t="shared" si="768"/>
        <v>0</v>
      </c>
      <c r="AE793" s="25">
        <f t="shared" si="769"/>
        <v>0</v>
      </c>
      <c r="AF793" s="25">
        <f t="shared" si="770"/>
        <v>0</v>
      </c>
      <c r="AG793" s="25">
        <f t="shared" si="771"/>
        <v>0</v>
      </c>
      <c r="AH793" s="25">
        <f t="shared" si="772"/>
        <v>0</v>
      </c>
      <c r="AI793" s="11" t="s">
        <v>46</v>
      </c>
      <c r="AJ793" s="25">
        <f t="shared" si="773"/>
        <v>0</v>
      </c>
      <c r="AK793" s="25">
        <f t="shared" si="774"/>
        <v>0</v>
      </c>
      <c r="AL793" s="25">
        <f t="shared" si="775"/>
        <v>0</v>
      </c>
      <c r="AN793" s="25">
        <v>21</v>
      </c>
      <c r="AO793" s="25">
        <f>G793*0.569127517</f>
        <v>0</v>
      </c>
      <c r="AP793" s="25">
        <f>G793*(1-0.569127517)</f>
        <v>0</v>
      </c>
      <c r="AQ793" s="27" t="s">
        <v>58</v>
      </c>
      <c r="AV793" s="25">
        <f t="shared" si="776"/>
        <v>0</v>
      </c>
      <c r="AW793" s="25">
        <f t="shared" si="777"/>
        <v>0</v>
      </c>
      <c r="AX793" s="25">
        <f t="shared" si="778"/>
        <v>0</v>
      </c>
      <c r="AY793" s="27" t="s">
        <v>2348</v>
      </c>
      <c r="AZ793" s="27" t="s">
        <v>305</v>
      </c>
      <c r="BA793" s="11" t="s">
        <v>56</v>
      </c>
      <c r="BC793" s="25">
        <f t="shared" si="779"/>
        <v>0</v>
      </c>
      <c r="BD793" s="25">
        <f t="shared" si="780"/>
        <v>0</v>
      </c>
      <c r="BE793" s="25">
        <v>0</v>
      </c>
      <c r="BF793" s="25">
        <f>793</f>
        <v>793</v>
      </c>
      <c r="BH793" s="25">
        <f t="shared" si="781"/>
        <v>0</v>
      </c>
      <c r="BI793" s="25">
        <f t="shared" si="782"/>
        <v>0</v>
      </c>
      <c r="BJ793" s="25">
        <f t="shared" si="783"/>
        <v>0</v>
      </c>
      <c r="BK793" s="27" t="s">
        <v>57</v>
      </c>
      <c r="BL793" s="25"/>
      <c r="BW793" s="25">
        <v>21</v>
      </c>
      <c r="BX793" s="5" t="s">
        <v>2195</v>
      </c>
    </row>
    <row r="794" spans="1:76" x14ac:dyDescent="0.25">
      <c r="A794" s="2" t="s">
        <v>2364</v>
      </c>
      <c r="B794" s="3" t="s">
        <v>2365</v>
      </c>
      <c r="C794" s="93" t="s">
        <v>2198</v>
      </c>
      <c r="D794" s="94"/>
      <c r="E794" s="3" t="s">
        <v>131</v>
      </c>
      <c r="F794" s="25">
        <v>20</v>
      </c>
      <c r="G794" s="25">
        <v>0</v>
      </c>
      <c r="H794" s="25">
        <f t="shared" si="762"/>
        <v>0</v>
      </c>
      <c r="I794" s="25">
        <f t="shared" si="763"/>
        <v>0</v>
      </c>
      <c r="J794" s="25">
        <f t="shared" si="764"/>
        <v>0</v>
      </c>
      <c r="K794" s="26" t="s">
        <v>53</v>
      </c>
      <c r="Z794" s="25">
        <f t="shared" si="765"/>
        <v>0</v>
      </c>
      <c r="AB794" s="25">
        <f t="shared" si="766"/>
        <v>0</v>
      </c>
      <c r="AC794" s="25">
        <f t="shared" si="767"/>
        <v>0</v>
      </c>
      <c r="AD794" s="25">
        <f t="shared" si="768"/>
        <v>0</v>
      </c>
      <c r="AE794" s="25">
        <f t="shared" si="769"/>
        <v>0</v>
      </c>
      <c r="AF794" s="25">
        <f t="shared" si="770"/>
        <v>0</v>
      </c>
      <c r="AG794" s="25">
        <f t="shared" si="771"/>
        <v>0</v>
      </c>
      <c r="AH794" s="25">
        <f t="shared" si="772"/>
        <v>0</v>
      </c>
      <c r="AI794" s="11" t="s">
        <v>46</v>
      </c>
      <c r="AJ794" s="25">
        <f t="shared" si="773"/>
        <v>0</v>
      </c>
      <c r="AK794" s="25">
        <f t="shared" si="774"/>
        <v>0</v>
      </c>
      <c r="AL794" s="25">
        <f t="shared" si="775"/>
        <v>0</v>
      </c>
      <c r="AN794" s="25">
        <v>21</v>
      </c>
      <c r="AO794" s="25">
        <f>G794*0.570002075</f>
        <v>0</v>
      </c>
      <c r="AP794" s="25">
        <f>G794*(1-0.570002075)</f>
        <v>0</v>
      </c>
      <c r="AQ794" s="27" t="s">
        <v>58</v>
      </c>
      <c r="AV794" s="25">
        <f t="shared" si="776"/>
        <v>0</v>
      </c>
      <c r="AW794" s="25">
        <f t="shared" si="777"/>
        <v>0</v>
      </c>
      <c r="AX794" s="25">
        <f t="shared" si="778"/>
        <v>0</v>
      </c>
      <c r="AY794" s="27" t="s">
        <v>2348</v>
      </c>
      <c r="AZ794" s="27" t="s">
        <v>305</v>
      </c>
      <c r="BA794" s="11" t="s">
        <v>56</v>
      </c>
      <c r="BC794" s="25">
        <f t="shared" si="779"/>
        <v>0</v>
      </c>
      <c r="BD794" s="25">
        <f t="shared" si="780"/>
        <v>0</v>
      </c>
      <c r="BE794" s="25">
        <v>0</v>
      </c>
      <c r="BF794" s="25">
        <f>794</f>
        <v>794</v>
      </c>
      <c r="BH794" s="25">
        <f t="shared" si="781"/>
        <v>0</v>
      </c>
      <c r="BI794" s="25">
        <f t="shared" si="782"/>
        <v>0</v>
      </c>
      <c r="BJ794" s="25">
        <f t="shared" si="783"/>
        <v>0</v>
      </c>
      <c r="BK794" s="27" t="s">
        <v>57</v>
      </c>
      <c r="BL794" s="25"/>
      <c r="BW794" s="25">
        <v>21</v>
      </c>
      <c r="BX794" s="5" t="s">
        <v>2198</v>
      </c>
    </row>
    <row r="795" spans="1:76" x14ac:dyDescent="0.25">
      <c r="A795" s="2" t="s">
        <v>2366</v>
      </c>
      <c r="B795" s="3" t="s">
        <v>2367</v>
      </c>
      <c r="C795" s="93" t="s">
        <v>2201</v>
      </c>
      <c r="D795" s="94"/>
      <c r="E795" s="3" t="s">
        <v>131</v>
      </c>
      <c r="F795" s="25">
        <v>20</v>
      </c>
      <c r="G795" s="25">
        <v>0</v>
      </c>
      <c r="H795" s="25">
        <f t="shared" si="762"/>
        <v>0</v>
      </c>
      <c r="I795" s="25">
        <f t="shared" si="763"/>
        <v>0</v>
      </c>
      <c r="J795" s="25">
        <f t="shared" si="764"/>
        <v>0</v>
      </c>
      <c r="K795" s="26" t="s">
        <v>53</v>
      </c>
      <c r="Z795" s="25">
        <f t="shared" si="765"/>
        <v>0</v>
      </c>
      <c r="AB795" s="25">
        <f t="shared" si="766"/>
        <v>0</v>
      </c>
      <c r="AC795" s="25">
        <f t="shared" si="767"/>
        <v>0</v>
      </c>
      <c r="AD795" s="25">
        <f t="shared" si="768"/>
        <v>0</v>
      </c>
      <c r="AE795" s="25">
        <f t="shared" si="769"/>
        <v>0</v>
      </c>
      <c r="AF795" s="25">
        <f t="shared" si="770"/>
        <v>0</v>
      </c>
      <c r="AG795" s="25">
        <f t="shared" si="771"/>
        <v>0</v>
      </c>
      <c r="AH795" s="25">
        <f t="shared" si="772"/>
        <v>0</v>
      </c>
      <c r="AI795" s="11" t="s">
        <v>46</v>
      </c>
      <c r="AJ795" s="25">
        <f t="shared" si="773"/>
        <v>0</v>
      </c>
      <c r="AK795" s="25">
        <f t="shared" si="774"/>
        <v>0</v>
      </c>
      <c r="AL795" s="25">
        <f t="shared" si="775"/>
        <v>0</v>
      </c>
      <c r="AN795" s="25">
        <v>21</v>
      </c>
      <c r="AO795" s="25">
        <f>G795*0.569994348</f>
        <v>0</v>
      </c>
      <c r="AP795" s="25">
        <f>G795*(1-0.569994348)</f>
        <v>0</v>
      </c>
      <c r="AQ795" s="27" t="s">
        <v>58</v>
      </c>
      <c r="AV795" s="25">
        <f t="shared" si="776"/>
        <v>0</v>
      </c>
      <c r="AW795" s="25">
        <f t="shared" si="777"/>
        <v>0</v>
      </c>
      <c r="AX795" s="25">
        <f t="shared" si="778"/>
        <v>0</v>
      </c>
      <c r="AY795" s="27" t="s">
        <v>2348</v>
      </c>
      <c r="AZ795" s="27" t="s">
        <v>305</v>
      </c>
      <c r="BA795" s="11" t="s">
        <v>56</v>
      </c>
      <c r="BC795" s="25">
        <f t="shared" si="779"/>
        <v>0</v>
      </c>
      <c r="BD795" s="25">
        <f t="shared" si="780"/>
        <v>0</v>
      </c>
      <c r="BE795" s="25">
        <v>0</v>
      </c>
      <c r="BF795" s="25">
        <f>795</f>
        <v>795</v>
      </c>
      <c r="BH795" s="25">
        <f t="shared" si="781"/>
        <v>0</v>
      </c>
      <c r="BI795" s="25">
        <f t="shared" si="782"/>
        <v>0</v>
      </c>
      <c r="BJ795" s="25">
        <f t="shared" si="783"/>
        <v>0</v>
      </c>
      <c r="BK795" s="27" t="s">
        <v>57</v>
      </c>
      <c r="BL795" s="25"/>
      <c r="BW795" s="25">
        <v>21</v>
      </c>
      <c r="BX795" s="5" t="s">
        <v>2201</v>
      </c>
    </row>
    <row r="796" spans="1:76" x14ac:dyDescent="0.25">
      <c r="A796" s="2" t="s">
        <v>2368</v>
      </c>
      <c r="B796" s="3" t="s">
        <v>2369</v>
      </c>
      <c r="C796" s="93" t="s">
        <v>2370</v>
      </c>
      <c r="D796" s="94"/>
      <c r="E796" s="3" t="s">
        <v>52</v>
      </c>
      <c r="F796" s="25">
        <v>1</v>
      </c>
      <c r="G796" s="25">
        <v>0</v>
      </c>
      <c r="H796" s="25">
        <f t="shared" si="762"/>
        <v>0</v>
      </c>
      <c r="I796" s="25">
        <f t="shared" si="763"/>
        <v>0</v>
      </c>
      <c r="J796" s="25">
        <f t="shared" si="764"/>
        <v>0</v>
      </c>
      <c r="K796" s="26" t="s">
        <v>53</v>
      </c>
      <c r="Z796" s="25">
        <f t="shared" si="765"/>
        <v>0</v>
      </c>
      <c r="AB796" s="25">
        <f t="shared" si="766"/>
        <v>0</v>
      </c>
      <c r="AC796" s="25">
        <f t="shared" si="767"/>
        <v>0</v>
      </c>
      <c r="AD796" s="25">
        <f t="shared" si="768"/>
        <v>0</v>
      </c>
      <c r="AE796" s="25">
        <f t="shared" si="769"/>
        <v>0</v>
      </c>
      <c r="AF796" s="25">
        <f t="shared" si="770"/>
        <v>0</v>
      </c>
      <c r="AG796" s="25">
        <f t="shared" si="771"/>
        <v>0</v>
      </c>
      <c r="AH796" s="25">
        <f t="shared" si="772"/>
        <v>0</v>
      </c>
      <c r="AI796" s="11" t="s">
        <v>46</v>
      </c>
      <c r="AJ796" s="25">
        <f t="shared" si="773"/>
        <v>0</v>
      </c>
      <c r="AK796" s="25">
        <f t="shared" si="774"/>
        <v>0</v>
      </c>
      <c r="AL796" s="25">
        <f t="shared" si="775"/>
        <v>0</v>
      </c>
      <c r="AN796" s="25">
        <v>21</v>
      </c>
      <c r="AO796" s="25">
        <f>G796*0</f>
        <v>0</v>
      </c>
      <c r="AP796" s="25">
        <f>G796*(1-0)</f>
        <v>0</v>
      </c>
      <c r="AQ796" s="27" t="s">
        <v>58</v>
      </c>
      <c r="AV796" s="25">
        <f t="shared" si="776"/>
        <v>0</v>
      </c>
      <c r="AW796" s="25">
        <f t="shared" si="777"/>
        <v>0</v>
      </c>
      <c r="AX796" s="25">
        <f t="shared" si="778"/>
        <v>0</v>
      </c>
      <c r="AY796" s="27" t="s">
        <v>2348</v>
      </c>
      <c r="AZ796" s="27" t="s">
        <v>305</v>
      </c>
      <c r="BA796" s="11" t="s">
        <v>56</v>
      </c>
      <c r="BC796" s="25">
        <f t="shared" si="779"/>
        <v>0</v>
      </c>
      <c r="BD796" s="25">
        <f t="shared" si="780"/>
        <v>0</v>
      </c>
      <c r="BE796" s="25">
        <v>0</v>
      </c>
      <c r="BF796" s="25">
        <f>796</f>
        <v>796</v>
      </c>
      <c r="BH796" s="25">
        <f t="shared" si="781"/>
        <v>0</v>
      </c>
      <c r="BI796" s="25">
        <f t="shared" si="782"/>
        <v>0</v>
      </c>
      <c r="BJ796" s="25">
        <f t="shared" si="783"/>
        <v>0</v>
      </c>
      <c r="BK796" s="27" t="s">
        <v>57</v>
      </c>
      <c r="BL796" s="25"/>
      <c r="BW796" s="25">
        <v>21</v>
      </c>
      <c r="BX796" s="5" t="s">
        <v>2370</v>
      </c>
    </row>
    <row r="797" spans="1:76" x14ac:dyDescent="0.25">
      <c r="A797" s="2" t="s">
        <v>2371</v>
      </c>
      <c r="B797" s="3" t="s">
        <v>2372</v>
      </c>
      <c r="C797" s="93" t="s">
        <v>2373</v>
      </c>
      <c r="D797" s="94"/>
      <c r="E797" s="3" t="s">
        <v>52</v>
      </c>
      <c r="F797" s="25">
        <v>1</v>
      </c>
      <c r="G797" s="25">
        <v>0</v>
      </c>
      <c r="H797" s="25">
        <f t="shared" si="762"/>
        <v>0</v>
      </c>
      <c r="I797" s="25">
        <f t="shared" si="763"/>
        <v>0</v>
      </c>
      <c r="J797" s="25">
        <f t="shared" si="764"/>
        <v>0</v>
      </c>
      <c r="K797" s="26" t="s">
        <v>53</v>
      </c>
      <c r="Z797" s="25">
        <f t="shared" si="765"/>
        <v>0</v>
      </c>
      <c r="AB797" s="25">
        <f t="shared" si="766"/>
        <v>0</v>
      </c>
      <c r="AC797" s="25">
        <f t="shared" si="767"/>
        <v>0</v>
      </c>
      <c r="AD797" s="25">
        <f t="shared" si="768"/>
        <v>0</v>
      </c>
      <c r="AE797" s="25">
        <f t="shared" si="769"/>
        <v>0</v>
      </c>
      <c r="AF797" s="25">
        <f t="shared" si="770"/>
        <v>0</v>
      </c>
      <c r="AG797" s="25">
        <f t="shared" si="771"/>
        <v>0</v>
      </c>
      <c r="AH797" s="25">
        <f t="shared" si="772"/>
        <v>0</v>
      </c>
      <c r="AI797" s="11" t="s">
        <v>46</v>
      </c>
      <c r="AJ797" s="25">
        <f t="shared" si="773"/>
        <v>0</v>
      </c>
      <c r="AK797" s="25">
        <f t="shared" si="774"/>
        <v>0</v>
      </c>
      <c r="AL797" s="25">
        <f t="shared" si="775"/>
        <v>0</v>
      </c>
      <c r="AN797" s="25">
        <v>21</v>
      </c>
      <c r="AO797" s="25">
        <f>G797*0</f>
        <v>0</v>
      </c>
      <c r="AP797" s="25">
        <f>G797*(1-0)</f>
        <v>0</v>
      </c>
      <c r="AQ797" s="27" t="s">
        <v>58</v>
      </c>
      <c r="AV797" s="25">
        <f t="shared" si="776"/>
        <v>0</v>
      </c>
      <c r="AW797" s="25">
        <f t="shared" si="777"/>
        <v>0</v>
      </c>
      <c r="AX797" s="25">
        <f t="shared" si="778"/>
        <v>0</v>
      </c>
      <c r="AY797" s="27" t="s">
        <v>2348</v>
      </c>
      <c r="AZ797" s="27" t="s">
        <v>305</v>
      </c>
      <c r="BA797" s="11" t="s">
        <v>56</v>
      </c>
      <c r="BC797" s="25">
        <f t="shared" si="779"/>
        <v>0</v>
      </c>
      <c r="BD797" s="25">
        <f t="shared" si="780"/>
        <v>0</v>
      </c>
      <c r="BE797" s="25">
        <v>0</v>
      </c>
      <c r="BF797" s="25">
        <f>797</f>
        <v>797</v>
      </c>
      <c r="BH797" s="25">
        <f t="shared" si="781"/>
        <v>0</v>
      </c>
      <c r="BI797" s="25">
        <f t="shared" si="782"/>
        <v>0</v>
      </c>
      <c r="BJ797" s="25">
        <f t="shared" si="783"/>
        <v>0</v>
      </c>
      <c r="BK797" s="27" t="s">
        <v>57</v>
      </c>
      <c r="BL797" s="25"/>
      <c r="BW797" s="25">
        <v>21</v>
      </c>
      <c r="BX797" s="5" t="s">
        <v>2373</v>
      </c>
    </row>
    <row r="798" spans="1:76" x14ac:dyDescent="0.25">
      <c r="A798" s="2" t="s">
        <v>2374</v>
      </c>
      <c r="B798" s="3" t="s">
        <v>2375</v>
      </c>
      <c r="C798" s="93" t="s">
        <v>2291</v>
      </c>
      <c r="D798" s="94"/>
      <c r="E798" s="3" t="s">
        <v>52</v>
      </c>
      <c r="F798" s="25">
        <v>1</v>
      </c>
      <c r="G798" s="25">
        <v>0</v>
      </c>
      <c r="H798" s="25">
        <f t="shared" si="762"/>
        <v>0</v>
      </c>
      <c r="I798" s="25">
        <f t="shared" si="763"/>
        <v>0</v>
      </c>
      <c r="J798" s="25">
        <f t="shared" si="764"/>
        <v>0</v>
      </c>
      <c r="K798" s="26" t="s">
        <v>53</v>
      </c>
      <c r="Z798" s="25">
        <f t="shared" si="765"/>
        <v>0</v>
      </c>
      <c r="AB798" s="25">
        <f t="shared" si="766"/>
        <v>0</v>
      </c>
      <c r="AC798" s="25">
        <f t="shared" si="767"/>
        <v>0</v>
      </c>
      <c r="AD798" s="25">
        <f t="shared" si="768"/>
        <v>0</v>
      </c>
      <c r="AE798" s="25">
        <f t="shared" si="769"/>
        <v>0</v>
      </c>
      <c r="AF798" s="25">
        <f t="shared" si="770"/>
        <v>0</v>
      </c>
      <c r="AG798" s="25">
        <f t="shared" si="771"/>
        <v>0</v>
      </c>
      <c r="AH798" s="25">
        <f t="shared" si="772"/>
        <v>0</v>
      </c>
      <c r="AI798" s="11" t="s">
        <v>46</v>
      </c>
      <c r="AJ798" s="25">
        <f t="shared" si="773"/>
        <v>0</v>
      </c>
      <c r="AK798" s="25">
        <f t="shared" si="774"/>
        <v>0</v>
      </c>
      <c r="AL798" s="25">
        <f t="shared" si="775"/>
        <v>0</v>
      </c>
      <c r="AN798" s="25">
        <v>21</v>
      </c>
      <c r="AO798" s="25">
        <f>G798*0</f>
        <v>0</v>
      </c>
      <c r="AP798" s="25">
        <f>G798*(1-0)</f>
        <v>0</v>
      </c>
      <c r="AQ798" s="27" t="s">
        <v>58</v>
      </c>
      <c r="AV798" s="25">
        <f t="shared" si="776"/>
        <v>0</v>
      </c>
      <c r="AW798" s="25">
        <f t="shared" si="777"/>
        <v>0</v>
      </c>
      <c r="AX798" s="25">
        <f t="shared" si="778"/>
        <v>0</v>
      </c>
      <c r="AY798" s="27" t="s">
        <v>2348</v>
      </c>
      <c r="AZ798" s="27" t="s">
        <v>305</v>
      </c>
      <c r="BA798" s="11" t="s">
        <v>56</v>
      </c>
      <c r="BC798" s="25">
        <f t="shared" si="779"/>
        <v>0</v>
      </c>
      <c r="BD798" s="25">
        <f t="shared" si="780"/>
        <v>0</v>
      </c>
      <c r="BE798" s="25">
        <v>0</v>
      </c>
      <c r="BF798" s="25">
        <f>798</f>
        <v>798</v>
      </c>
      <c r="BH798" s="25">
        <f t="shared" si="781"/>
        <v>0</v>
      </c>
      <c r="BI798" s="25">
        <f t="shared" si="782"/>
        <v>0</v>
      </c>
      <c r="BJ798" s="25">
        <f t="shared" si="783"/>
        <v>0</v>
      </c>
      <c r="BK798" s="27" t="s">
        <v>57</v>
      </c>
      <c r="BL798" s="25"/>
      <c r="BW798" s="25">
        <v>21</v>
      </c>
      <c r="BX798" s="5" t="s">
        <v>2291</v>
      </c>
    </row>
    <row r="799" spans="1:76" x14ac:dyDescent="0.25">
      <c r="A799" s="2" t="s">
        <v>2376</v>
      </c>
      <c r="B799" s="3" t="s">
        <v>2377</v>
      </c>
      <c r="C799" s="93" t="s">
        <v>2237</v>
      </c>
      <c r="D799" s="94"/>
      <c r="E799" s="3" t="s">
        <v>52</v>
      </c>
      <c r="F799" s="25">
        <v>1</v>
      </c>
      <c r="G799" s="25">
        <v>0</v>
      </c>
      <c r="H799" s="25">
        <f t="shared" si="762"/>
        <v>0</v>
      </c>
      <c r="I799" s="25">
        <f t="shared" si="763"/>
        <v>0</v>
      </c>
      <c r="J799" s="25">
        <f t="shared" si="764"/>
        <v>0</v>
      </c>
      <c r="K799" s="26" t="s">
        <v>53</v>
      </c>
      <c r="Z799" s="25">
        <f t="shared" si="765"/>
        <v>0</v>
      </c>
      <c r="AB799" s="25">
        <f t="shared" si="766"/>
        <v>0</v>
      </c>
      <c r="AC799" s="25">
        <f t="shared" si="767"/>
        <v>0</v>
      </c>
      <c r="AD799" s="25">
        <f t="shared" si="768"/>
        <v>0</v>
      </c>
      <c r="AE799" s="25">
        <f t="shared" si="769"/>
        <v>0</v>
      </c>
      <c r="AF799" s="25">
        <f t="shared" si="770"/>
        <v>0</v>
      </c>
      <c r="AG799" s="25">
        <f t="shared" si="771"/>
        <v>0</v>
      </c>
      <c r="AH799" s="25">
        <f t="shared" si="772"/>
        <v>0</v>
      </c>
      <c r="AI799" s="11" t="s">
        <v>46</v>
      </c>
      <c r="AJ799" s="25">
        <f t="shared" si="773"/>
        <v>0</v>
      </c>
      <c r="AK799" s="25">
        <f t="shared" si="774"/>
        <v>0</v>
      </c>
      <c r="AL799" s="25">
        <f t="shared" si="775"/>
        <v>0</v>
      </c>
      <c r="AN799" s="25">
        <v>21</v>
      </c>
      <c r="AO799" s="25">
        <f>G799*0</f>
        <v>0</v>
      </c>
      <c r="AP799" s="25">
        <f>G799*(1-0)</f>
        <v>0</v>
      </c>
      <c r="AQ799" s="27" t="s">
        <v>58</v>
      </c>
      <c r="AV799" s="25">
        <f t="shared" si="776"/>
        <v>0</v>
      </c>
      <c r="AW799" s="25">
        <f t="shared" si="777"/>
        <v>0</v>
      </c>
      <c r="AX799" s="25">
        <f t="shared" si="778"/>
        <v>0</v>
      </c>
      <c r="AY799" s="27" t="s">
        <v>2348</v>
      </c>
      <c r="AZ799" s="27" t="s">
        <v>305</v>
      </c>
      <c r="BA799" s="11" t="s">
        <v>56</v>
      </c>
      <c r="BC799" s="25">
        <f t="shared" si="779"/>
        <v>0</v>
      </c>
      <c r="BD799" s="25">
        <f t="shared" si="780"/>
        <v>0</v>
      </c>
      <c r="BE799" s="25">
        <v>0</v>
      </c>
      <c r="BF799" s="25">
        <f>799</f>
        <v>799</v>
      </c>
      <c r="BH799" s="25">
        <f t="shared" si="781"/>
        <v>0</v>
      </c>
      <c r="BI799" s="25">
        <f t="shared" si="782"/>
        <v>0</v>
      </c>
      <c r="BJ799" s="25">
        <f t="shared" si="783"/>
        <v>0</v>
      </c>
      <c r="BK799" s="27" t="s">
        <v>57</v>
      </c>
      <c r="BL799" s="25"/>
      <c r="BW799" s="25">
        <v>21</v>
      </c>
      <c r="BX799" s="5" t="s">
        <v>2237</v>
      </c>
    </row>
    <row r="800" spans="1:76" x14ac:dyDescent="0.25">
      <c r="A800" s="2" t="s">
        <v>2378</v>
      </c>
      <c r="B800" s="3" t="s">
        <v>2379</v>
      </c>
      <c r="C800" s="93" t="s">
        <v>2240</v>
      </c>
      <c r="D800" s="94"/>
      <c r="E800" s="3" t="s">
        <v>52</v>
      </c>
      <c r="F800" s="25">
        <v>1</v>
      </c>
      <c r="G800" s="25">
        <v>0</v>
      </c>
      <c r="H800" s="25">
        <f t="shared" si="762"/>
        <v>0</v>
      </c>
      <c r="I800" s="25">
        <f t="shared" si="763"/>
        <v>0</v>
      </c>
      <c r="J800" s="25">
        <f t="shared" si="764"/>
        <v>0</v>
      </c>
      <c r="K800" s="26" t="s">
        <v>53</v>
      </c>
      <c r="Z800" s="25">
        <f t="shared" si="765"/>
        <v>0</v>
      </c>
      <c r="AB800" s="25">
        <f t="shared" si="766"/>
        <v>0</v>
      </c>
      <c r="AC800" s="25">
        <f t="shared" si="767"/>
        <v>0</v>
      </c>
      <c r="AD800" s="25">
        <f t="shared" si="768"/>
        <v>0</v>
      </c>
      <c r="AE800" s="25">
        <f t="shared" si="769"/>
        <v>0</v>
      </c>
      <c r="AF800" s="25">
        <f t="shared" si="770"/>
        <v>0</v>
      </c>
      <c r="AG800" s="25">
        <f t="shared" si="771"/>
        <v>0</v>
      </c>
      <c r="AH800" s="25">
        <f t="shared" si="772"/>
        <v>0</v>
      </c>
      <c r="AI800" s="11" t="s">
        <v>46</v>
      </c>
      <c r="AJ800" s="25">
        <f t="shared" si="773"/>
        <v>0</v>
      </c>
      <c r="AK800" s="25">
        <f t="shared" si="774"/>
        <v>0</v>
      </c>
      <c r="AL800" s="25">
        <f t="shared" si="775"/>
        <v>0</v>
      </c>
      <c r="AN800" s="25">
        <v>21</v>
      </c>
      <c r="AO800" s="25">
        <f>G800*1</f>
        <v>0</v>
      </c>
      <c r="AP800" s="25">
        <f>G800*(1-1)</f>
        <v>0</v>
      </c>
      <c r="AQ800" s="27" t="s">
        <v>58</v>
      </c>
      <c r="AV800" s="25">
        <f t="shared" si="776"/>
        <v>0</v>
      </c>
      <c r="AW800" s="25">
        <f t="shared" si="777"/>
        <v>0</v>
      </c>
      <c r="AX800" s="25">
        <f t="shared" si="778"/>
        <v>0</v>
      </c>
      <c r="AY800" s="27" t="s">
        <v>2348</v>
      </c>
      <c r="AZ800" s="27" t="s">
        <v>305</v>
      </c>
      <c r="BA800" s="11" t="s">
        <v>56</v>
      </c>
      <c r="BC800" s="25">
        <f t="shared" si="779"/>
        <v>0</v>
      </c>
      <c r="BD800" s="25">
        <f t="shared" si="780"/>
        <v>0</v>
      </c>
      <c r="BE800" s="25">
        <v>0</v>
      </c>
      <c r="BF800" s="25">
        <f>800</f>
        <v>800</v>
      </c>
      <c r="BH800" s="25">
        <f t="shared" si="781"/>
        <v>0</v>
      </c>
      <c r="BI800" s="25">
        <f t="shared" si="782"/>
        <v>0</v>
      </c>
      <c r="BJ800" s="25">
        <f t="shared" si="783"/>
        <v>0</v>
      </c>
      <c r="BK800" s="27" t="s">
        <v>57</v>
      </c>
      <c r="BL800" s="25"/>
      <c r="BW800" s="25">
        <v>21</v>
      </c>
      <c r="BX800" s="5" t="s">
        <v>2240</v>
      </c>
    </row>
    <row r="801" spans="1:76" x14ac:dyDescent="0.25">
      <c r="A801" s="28" t="s">
        <v>46</v>
      </c>
      <c r="B801" s="29" t="s">
        <v>2380</v>
      </c>
      <c r="C801" s="150" t="s">
        <v>2381</v>
      </c>
      <c r="D801" s="151"/>
      <c r="E801" s="30" t="s">
        <v>4</v>
      </c>
      <c r="F801" s="30" t="s">
        <v>4</v>
      </c>
      <c r="G801" s="30" t="s">
        <v>4</v>
      </c>
      <c r="H801" s="1">
        <f>ROUND(SUM(H802:H815),1)</f>
        <v>0</v>
      </c>
      <c r="I801" s="1">
        <f>ROUND(SUM(I802:I815),1)</f>
        <v>0</v>
      </c>
      <c r="J801" s="1">
        <f>ROUND(SUM(J802:J815),1)</f>
        <v>0</v>
      </c>
      <c r="K801" s="31" t="s">
        <v>46</v>
      </c>
      <c r="AI801" s="11" t="s">
        <v>46</v>
      </c>
      <c r="AS801" s="1">
        <f>SUM(AJ802:AJ815)</f>
        <v>0</v>
      </c>
      <c r="AT801" s="1">
        <f>SUM(AK802:AK815)</f>
        <v>0</v>
      </c>
      <c r="AU801" s="1">
        <f>SUM(AL802:AL815)</f>
        <v>0</v>
      </c>
    </row>
    <row r="802" spans="1:76" x14ac:dyDescent="0.25">
      <c r="A802" s="2" t="s">
        <v>2382</v>
      </c>
      <c r="B802" s="3" t="s">
        <v>2383</v>
      </c>
      <c r="C802" s="93" t="s">
        <v>2384</v>
      </c>
      <c r="D802" s="94"/>
      <c r="E802" s="3" t="s">
        <v>52</v>
      </c>
      <c r="F802" s="25">
        <v>11</v>
      </c>
      <c r="G802" s="25">
        <v>0</v>
      </c>
      <c r="H802" s="25">
        <f t="shared" ref="H802:H815" si="784">ROUND(F802*AO802,2)</f>
        <v>0</v>
      </c>
      <c r="I802" s="25">
        <f t="shared" ref="I802:I815" si="785">ROUND(F802*AP802,2)</f>
        <v>0</v>
      </c>
      <c r="J802" s="25">
        <f t="shared" ref="J802:J815" si="786">ROUND(F802*G802,1)</f>
        <v>0</v>
      </c>
      <c r="K802" s="26" t="s">
        <v>53</v>
      </c>
      <c r="Z802" s="25">
        <f t="shared" ref="Z802:Z815" si="787">ROUND(IF(AQ802="5",BJ802,0),2)</f>
        <v>0</v>
      </c>
      <c r="AB802" s="25">
        <f t="shared" ref="AB802:AB815" si="788">ROUND(IF(AQ802="1",BH802,0),2)</f>
        <v>0</v>
      </c>
      <c r="AC802" s="25">
        <f t="shared" ref="AC802:AC815" si="789">ROUND(IF(AQ802="1",BI802,0),2)</f>
        <v>0</v>
      </c>
      <c r="AD802" s="25">
        <f t="shared" ref="AD802:AD815" si="790">ROUND(IF(AQ802="7",BH802,0),2)</f>
        <v>0</v>
      </c>
      <c r="AE802" s="25">
        <f t="shared" ref="AE802:AE815" si="791">ROUND(IF(AQ802="7",BI802,0),2)</f>
        <v>0</v>
      </c>
      <c r="AF802" s="25">
        <f t="shared" ref="AF802:AF815" si="792">ROUND(IF(AQ802="2",BH802,0),2)</f>
        <v>0</v>
      </c>
      <c r="AG802" s="25">
        <f t="shared" ref="AG802:AG815" si="793">ROUND(IF(AQ802="2",BI802,0),2)</f>
        <v>0</v>
      </c>
      <c r="AH802" s="25">
        <f t="shared" ref="AH802:AH815" si="794">ROUND(IF(AQ802="0",BJ802,0),2)</f>
        <v>0</v>
      </c>
      <c r="AI802" s="11" t="s">
        <v>46</v>
      </c>
      <c r="AJ802" s="25">
        <f t="shared" ref="AJ802:AJ815" si="795">IF(AN802=0,J802,0)</f>
        <v>0</v>
      </c>
      <c r="AK802" s="25">
        <f t="shared" ref="AK802:AK815" si="796">IF(AN802=12,J802,0)</f>
        <v>0</v>
      </c>
      <c r="AL802" s="25">
        <f t="shared" ref="AL802:AL815" si="797">IF(AN802=21,J802,0)</f>
        <v>0</v>
      </c>
      <c r="AN802" s="25">
        <v>21</v>
      </c>
      <c r="AO802" s="25">
        <f>G802*0.57</f>
        <v>0</v>
      </c>
      <c r="AP802" s="25">
        <f>G802*(1-0.57)</f>
        <v>0</v>
      </c>
      <c r="AQ802" s="27" t="s">
        <v>58</v>
      </c>
      <c r="AV802" s="25">
        <f t="shared" ref="AV802:AV815" si="798">ROUND(AW802+AX802,2)</f>
        <v>0</v>
      </c>
      <c r="AW802" s="25">
        <f t="shared" ref="AW802:AW815" si="799">ROUND(F802*AO802,2)</f>
        <v>0</v>
      </c>
      <c r="AX802" s="25">
        <f t="shared" ref="AX802:AX815" si="800">ROUND(F802*AP802,2)</f>
        <v>0</v>
      </c>
      <c r="AY802" s="27" t="s">
        <v>2385</v>
      </c>
      <c r="AZ802" s="27" t="s">
        <v>305</v>
      </c>
      <c r="BA802" s="11" t="s">
        <v>56</v>
      </c>
      <c r="BC802" s="25">
        <f t="shared" ref="BC802:BC815" si="801">AW802+AX802</f>
        <v>0</v>
      </c>
      <c r="BD802" s="25">
        <f t="shared" ref="BD802:BD815" si="802">G802/(100-BE802)*100</f>
        <v>0</v>
      </c>
      <c r="BE802" s="25">
        <v>0</v>
      </c>
      <c r="BF802" s="25">
        <f>802</f>
        <v>802</v>
      </c>
      <c r="BH802" s="25">
        <f t="shared" ref="BH802:BH815" si="803">F802*AO802</f>
        <v>0</v>
      </c>
      <c r="BI802" s="25">
        <f t="shared" ref="BI802:BI815" si="804">F802*AP802</f>
        <v>0</v>
      </c>
      <c r="BJ802" s="25">
        <f t="shared" ref="BJ802:BJ815" si="805">F802*G802</f>
        <v>0</v>
      </c>
      <c r="BK802" s="27" t="s">
        <v>57</v>
      </c>
      <c r="BL802" s="25"/>
      <c r="BW802" s="25">
        <v>21</v>
      </c>
      <c r="BX802" s="5" t="s">
        <v>2384</v>
      </c>
    </row>
    <row r="803" spans="1:76" x14ac:dyDescent="0.25">
      <c r="A803" s="2" t="s">
        <v>2386</v>
      </c>
      <c r="B803" s="3" t="s">
        <v>2387</v>
      </c>
      <c r="C803" s="93" t="s">
        <v>2388</v>
      </c>
      <c r="D803" s="94"/>
      <c r="E803" s="3" t="s">
        <v>52</v>
      </c>
      <c r="F803" s="25">
        <v>4</v>
      </c>
      <c r="G803" s="25">
        <v>0</v>
      </c>
      <c r="H803" s="25">
        <f t="shared" si="784"/>
        <v>0</v>
      </c>
      <c r="I803" s="25">
        <f t="shared" si="785"/>
        <v>0</v>
      </c>
      <c r="J803" s="25">
        <f t="shared" si="786"/>
        <v>0</v>
      </c>
      <c r="K803" s="26" t="s">
        <v>53</v>
      </c>
      <c r="Z803" s="25">
        <f t="shared" si="787"/>
        <v>0</v>
      </c>
      <c r="AB803" s="25">
        <f t="shared" si="788"/>
        <v>0</v>
      </c>
      <c r="AC803" s="25">
        <f t="shared" si="789"/>
        <v>0</v>
      </c>
      <c r="AD803" s="25">
        <f t="shared" si="790"/>
        <v>0</v>
      </c>
      <c r="AE803" s="25">
        <f t="shared" si="791"/>
        <v>0</v>
      </c>
      <c r="AF803" s="25">
        <f t="shared" si="792"/>
        <v>0</v>
      </c>
      <c r="AG803" s="25">
        <f t="shared" si="793"/>
        <v>0</v>
      </c>
      <c r="AH803" s="25">
        <f t="shared" si="794"/>
        <v>0</v>
      </c>
      <c r="AI803" s="11" t="s">
        <v>46</v>
      </c>
      <c r="AJ803" s="25">
        <f t="shared" si="795"/>
        <v>0</v>
      </c>
      <c r="AK803" s="25">
        <f t="shared" si="796"/>
        <v>0</v>
      </c>
      <c r="AL803" s="25">
        <f t="shared" si="797"/>
        <v>0</v>
      </c>
      <c r="AN803" s="25">
        <v>21</v>
      </c>
      <c r="AO803" s="25">
        <f>G803*0.57</f>
        <v>0</v>
      </c>
      <c r="AP803" s="25">
        <f>G803*(1-0.57)</f>
        <v>0</v>
      </c>
      <c r="AQ803" s="27" t="s">
        <v>58</v>
      </c>
      <c r="AV803" s="25">
        <f t="shared" si="798"/>
        <v>0</v>
      </c>
      <c r="AW803" s="25">
        <f t="shared" si="799"/>
        <v>0</v>
      </c>
      <c r="AX803" s="25">
        <f t="shared" si="800"/>
        <v>0</v>
      </c>
      <c r="AY803" s="27" t="s">
        <v>2385</v>
      </c>
      <c r="AZ803" s="27" t="s">
        <v>305</v>
      </c>
      <c r="BA803" s="11" t="s">
        <v>56</v>
      </c>
      <c r="BC803" s="25">
        <f t="shared" si="801"/>
        <v>0</v>
      </c>
      <c r="BD803" s="25">
        <f t="shared" si="802"/>
        <v>0</v>
      </c>
      <c r="BE803" s="25">
        <v>0</v>
      </c>
      <c r="BF803" s="25">
        <f>803</f>
        <v>803</v>
      </c>
      <c r="BH803" s="25">
        <f t="shared" si="803"/>
        <v>0</v>
      </c>
      <c r="BI803" s="25">
        <f t="shared" si="804"/>
        <v>0</v>
      </c>
      <c r="BJ803" s="25">
        <f t="shared" si="805"/>
        <v>0</v>
      </c>
      <c r="BK803" s="27" t="s">
        <v>57</v>
      </c>
      <c r="BL803" s="25"/>
      <c r="BW803" s="25">
        <v>21</v>
      </c>
      <c r="BX803" s="5" t="s">
        <v>2388</v>
      </c>
    </row>
    <row r="804" spans="1:76" x14ac:dyDescent="0.25">
      <c r="A804" s="2" t="s">
        <v>2389</v>
      </c>
      <c r="B804" s="3" t="s">
        <v>2390</v>
      </c>
      <c r="C804" s="93" t="s">
        <v>2354</v>
      </c>
      <c r="D804" s="94"/>
      <c r="E804" s="3" t="s">
        <v>131</v>
      </c>
      <c r="F804" s="25">
        <v>250</v>
      </c>
      <c r="G804" s="25">
        <v>0</v>
      </c>
      <c r="H804" s="25">
        <f t="shared" si="784"/>
        <v>0</v>
      </c>
      <c r="I804" s="25">
        <f t="shared" si="785"/>
        <v>0</v>
      </c>
      <c r="J804" s="25">
        <f t="shared" si="786"/>
        <v>0</v>
      </c>
      <c r="K804" s="26" t="s">
        <v>53</v>
      </c>
      <c r="Z804" s="25">
        <f t="shared" si="787"/>
        <v>0</v>
      </c>
      <c r="AB804" s="25">
        <f t="shared" si="788"/>
        <v>0</v>
      </c>
      <c r="AC804" s="25">
        <f t="shared" si="789"/>
        <v>0</v>
      </c>
      <c r="AD804" s="25">
        <f t="shared" si="790"/>
        <v>0</v>
      </c>
      <c r="AE804" s="25">
        <f t="shared" si="791"/>
        <v>0</v>
      </c>
      <c r="AF804" s="25">
        <f t="shared" si="792"/>
        <v>0</v>
      </c>
      <c r="AG804" s="25">
        <f t="shared" si="793"/>
        <v>0</v>
      </c>
      <c r="AH804" s="25">
        <f t="shared" si="794"/>
        <v>0</v>
      </c>
      <c r="AI804" s="11" t="s">
        <v>46</v>
      </c>
      <c r="AJ804" s="25">
        <f t="shared" si="795"/>
        <v>0</v>
      </c>
      <c r="AK804" s="25">
        <f t="shared" si="796"/>
        <v>0</v>
      </c>
      <c r="AL804" s="25">
        <f t="shared" si="797"/>
        <v>0</v>
      </c>
      <c r="AN804" s="25">
        <v>21</v>
      </c>
      <c r="AO804" s="25">
        <f>G804*0.569983254</f>
        <v>0</v>
      </c>
      <c r="AP804" s="25">
        <f>G804*(1-0.569983254)</f>
        <v>0</v>
      </c>
      <c r="AQ804" s="27" t="s">
        <v>58</v>
      </c>
      <c r="AV804" s="25">
        <f t="shared" si="798"/>
        <v>0</v>
      </c>
      <c r="AW804" s="25">
        <f t="shared" si="799"/>
        <v>0</v>
      </c>
      <c r="AX804" s="25">
        <f t="shared" si="800"/>
        <v>0</v>
      </c>
      <c r="AY804" s="27" t="s">
        <v>2385</v>
      </c>
      <c r="AZ804" s="27" t="s">
        <v>305</v>
      </c>
      <c r="BA804" s="11" t="s">
        <v>56</v>
      </c>
      <c r="BC804" s="25">
        <f t="shared" si="801"/>
        <v>0</v>
      </c>
      <c r="BD804" s="25">
        <f t="shared" si="802"/>
        <v>0</v>
      </c>
      <c r="BE804" s="25">
        <v>0</v>
      </c>
      <c r="BF804" s="25">
        <f>804</f>
        <v>804</v>
      </c>
      <c r="BH804" s="25">
        <f t="shared" si="803"/>
        <v>0</v>
      </c>
      <c r="BI804" s="25">
        <f t="shared" si="804"/>
        <v>0</v>
      </c>
      <c r="BJ804" s="25">
        <f t="shared" si="805"/>
        <v>0</v>
      </c>
      <c r="BK804" s="27" t="s">
        <v>57</v>
      </c>
      <c r="BL804" s="25"/>
      <c r="BW804" s="25">
        <v>21</v>
      </c>
      <c r="BX804" s="5" t="s">
        <v>2354</v>
      </c>
    </row>
    <row r="805" spans="1:76" x14ac:dyDescent="0.25">
      <c r="A805" s="2" t="s">
        <v>2391</v>
      </c>
      <c r="B805" s="3" t="s">
        <v>2392</v>
      </c>
      <c r="C805" s="93" t="s">
        <v>2357</v>
      </c>
      <c r="D805" s="94"/>
      <c r="E805" s="3" t="s">
        <v>131</v>
      </c>
      <c r="F805" s="25">
        <v>50</v>
      </c>
      <c r="G805" s="25">
        <v>0</v>
      </c>
      <c r="H805" s="25">
        <f t="shared" si="784"/>
        <v>0</v>
      </c>
      <c r="I805" s="25">
        <f t="shared" si="785"/>
        <v>0</v>
      </c>
      <c r="J805" s="25">
        <f t="shared" si="786"/>
        <v>0</v>
      </c>
      <c r="K805" s="26" t="s">
        <v>53</v>
      </c>
      <c r="Z805" s="25">
        <f t="shared" si="787"/>
        <v>0</v>
      </c>
      <c r="AB805" s="25">
        <f t="shared" si="788"/>
        <v>0</v>
      </c>
      <c r="AC805" s="25">
        <f t="shared" si="789"/>
        <v>0</v>
      </c>
      <c r="AD805" s="25">
        <f t="shared" si="790"/>
        <v>0</v>
      </c>
      <c r="AE805" s="25">
        <f t="shared" si="791"/>
        <v>0</v>
      </c>
      <c r="AF805" s="25">
        <f t="shared" si="792"/>
        <v>0</v>
      </c>
      <c r="AG805" s="25">
        <f t="shared" si="793"/>
        <v>0</v>
      </c>
      <c r="AH805" s="25">
        <f t="shared" si="794"/>
        <v>0</v>
      </c>
      <c r="AI805" s="11" t="s">
        <v>46</v>
      </c>
      <c r="AJ805" s="25">
        <f t="shared" si="795"/>
        <v>0</v>
      </c>
      <c r="AK805" s="25">
        <f t="shared" si="796"/>
        <v>0</v>
      </c>
      <c r="AL805" s="25">
        <f t="shared" si="797"/>
        <v>0</v>
      </c>
      <c r="AN805" s="25">
        <v>21</v>
      </c>
      <c r="AO805" s="25">
        <f>G805*0.570038928</f>
        <v>0</v>
      </c>
      <c r="AP805" s="25">
        <f>G805*(1-0.570038928)</f>
        <v>0</v>
      </c>
      <c r="AQ805" s="27" t="s">
        <v>58</v>
      </c>
      <c r="AV805" s="25">
        <f t="shared" si="798"/>
        <v>0</v>
      </c>
      <c r="AW805" s="25">
        <f t="shared" si="799"/>
        <v>0</v>
      </c>
      <c r="AX805" s="25">
        <f t="shared" si="800"/>
        <v>0</v>
      </c>
      <c r="AY805" s="27" t="s">
        <v>2385</v>
      </c>
      <c r="AZ805" s="27" t="s">
        <v>305</v>
      </c>
      <c r="BA805" s="11" t="s">
        <v>56</v>
      </c>
      <c r="BC805" s="25">
        <f t="shared" si="801"/>
        <v>0</v>
      </c>
      <c r="BD805" s="25">
        <f t="shared" si="802"/>
        <v>0</v>
      </c>
      <c r="BE805" s="25">
        <v>0</v>
      </c>
      <c r="BF805" s="25">
        <f>805</f>
        <v>805</v>
      </c>
      <c r="BH805" s="25">
        <f t="shared" si="803"/>
        <v>0</v>
      </c>
      <c r="BI805" s="25">
        <f t="shared" si="804"/>
        <v>0</v>
      </c>
      <c r="BJ805" s="25">
        <f t="shared" si="805"/>
        <v>0</v>
      </c>
      <c r="BK805" s="27" t="s">
        <v>57</v>
      </c>
      <c r="BL805" s="25"/>
      <c r="BW805" s="25">
        <v>21</v>
      </c>
      <c r="BX805" s="5" t="s">
        <v>2357</v>
      </c>
    </row>
    <row r="806" spans="1:76" x14ac:dyDescent="0.25">
      <c r="A806" s="2" t="s">
        <v>2393</v>
      </c>
      <c r="B806" s="3" t="s">
        <v>2394</v>
      </c>
      <c r="C806" s="93" t="s">
        <v>2186</v>
      </c>
      <c r="D806" s="94"/>
      <c r="E806" s="3" t="s">
        <v>131</v>
      </c>
      <c r="F806" s="25">
        <v>25</v>
      </c>
      <c r="G806" s="25">
        <v>0</v>
      </c>
      <c r="H806" s="25">
        <f t="shared" si="784"/>
        <v>0</v>
      </c>
      <c r="I806" s="25">
        <f t="shared" si="785"/>
        <v>0</v>
      </c>
      <c r="J806" s="25">
        <f t="shared" si="786"/>
        <v>0</v>
      </c>
      <c r="K806" s="26" t="s">
        <v>53</v>
      </c>
      <c r="Z806" s="25">
        <f t="shared" si="787"/>
        <v>0</v>
      </c>
      <c r="AB806" s="25">
        <f t="shared" si="788"/>
        <v>0</v>
      </c>
      <c r="AC806" s="25">
        <f t="shared" si="789"/>
        <v>0</v>
      </c>
      <c r="AD806" s="25">
        <f t="shared" si="790"/>
        <v>0</v>
      </c>
      <c r="AE806" s="25">
        <f t="shared" si="791"/>
        <v>0</v>
      </c>
      <c r="AF806" s="25">
        <f t="shared" si="792"/>
        <v>0</v>
      </c>
      <c r="AG806" s="25">
        <f t="shared" si="793"/>
        <v>0</v>
      </c>
      <c r="AH806" s="25">
        <f t="shared" si="794"/>
        <v>0</v>
      </c>
      <c r="AI806" s="11" t="s">
        <v>46</v>
      </c>
      <c r="AJ806" s="25">
        <f t="shared" si="795"/>
        <v>0</v>
      </c>
      <c r="AK806" s="25">
        <f t="shared" si="796"/>
        <v>0</v>
      </c>
      <c r="AL806" s="25">
        <f t="shared" si="797"/>
        <v>0</v>
      </c>
      <c r="AN806" s="25">
        <v>21</v>
      </c>
      <c r="AO806" s="25">
        <f>G806*0.569841007</f>
        <v>0</v>
      </c>
      <c r="AP806" s="25">
        <f>G806*(1-0.569841007)</f>
        <v>0</v>
      </c>
      <c r="AQ806" s="27" t="s">
        <v>58</v>
      </c>
      <c r="AV806" s="25">
        <f t="shared" si="798"/>
        <v>0</v>
      </c>
      <c r="AW806" s="25">
        <f t="shared" si="799"/>
        <v>0</v>
      </c>
      <c r="AX806" s="25">
        <f t="shared" si="800"/>
        <v>0</v>
      </c>
      <c r="AY806" s="27" t="s">
        <v>2385</v>
      </c>
      <c r="AZ806" s="27" t="s">
        <v>305</v>
      </c>
      <c r="BA806" s="11" t="s">
        <v>56</v>
      </c>
      <c r="BC806" s="25">
        <f t="shared" si="801"/>
        <v>0</v>
      </c>
      <c r="BD806" s="25">
        <f t="shared" si="802"/>
        <v>0</v>
      </c>
      <c r="BE806" s="25">
        <v>0</v>
      </c>
      <c r="BF806" s="25">
        <f>806</f>
        <v>806</v>
      </c>
      <c r="BH806" s="25">
        <f t="shared" si="803"/>
        <v>0</v>
      </c>
      <c r="BI806" s="25">
        <f t="shared" si="804"/>
        <v>0</v>
      </c>
      <c r="BJ806" s="25">
        <f t="shared" si="805"/>
        <v>0</v>
      </c>
      <c r="BK806" s="27" t="s">
        <v>57</v>
      </c>
      <c r="BL806" s="25"/>
      <c r="BW806" s="25">
        <v>21</v>
      </c>
      <c r="BX806" s="5" t="s">
        <v>2186</v>
      </c>
    </row>
    <row r="807" spans="1:76" x14ac:dyDescent="0.25">
      <c r="A807" s="2" t="s">
        <v>2395</v>
      </c>
      <c r="B807" s="3" t="s">
        <v>2396</v>
      </c>
      <c r="C807" s="93" t="s">
        <v>2272</v>
      </c>
      <c r="D807" s="94"/>
      <c r="E807" s="3" t="s">
        <v>52</v>
      </c>
      <c r="F807" s="25">
        <v>15</v>
      </c>
      <c r="G807" s="25">
        <v>0</v>
      </c>
      <c r="H807" s="25">
        <f t="shared" si="784"/>
        <v>0</v>
      </c>
      <c r="I807" s="25">
        <f t="shared" si="785"/>
        <v>0</v>
      </c>
      <c r="J807" s="25">
        <f t="shared" si="786"/>
        <v>0</v>
      </c>
      <c r="K807" s="26" t="s">
        <v>53</v>
      </c>
      <c r="Z807" s="25">
        <f t="shared" si="787"/>
        <v>0</v>
      </c>
      <c r="AB807" s="25">
        <f t="shared" si="788"/>
        <v>0</v>
      </c>
      <c r="AC807" s="25">
        <f t="shared" si="789"/>
        <v>0</v>
      </c>
      <c r="AD807" s="25">
        <f t="shared" si="790"/>
        <v>0</v>
      </c>
      <c r="AE807" s="25">
        <f t="shared" si="791"/>
        <v>0</v>
      </c>
      <c r="AF807" s="25">
        <f t="shared" si="792"/>
        <v>0</v>
      </c>
      <c r="AG807" s="25">
        <f t="shared" si="793"/>
        <v>0</v>
      </c>
      <c r="AH807" s="25">
        <f t="shared" si="794"/>
        <v>0</v>
      </c>
      <c r="AI807" s="11" t="s">
        <v>46</v>
      </c>
      <c r="AJ807" s="25">
        <f t="shared" si="795"/>
        <v>0</v>
      </c>
      <c r="AK807" s="25">
        <f t="shared" si="796"/>
        <v>0</v>
      </c>
      <c r="AL807" s="25">
        <f t="shared" si="797"/>
        <v>0</v>
      </c>
      <c r="AN807" s="25">
        <v>21</v>
      </c>
      <c r="AO807" s="25">
        <f>G807*0.569972912</f>
        <v>0</v>
      </c>
      <c r="AP807" s="25">
        <f>G807*(1-0.569972912)</f>
        <v>0</v>
      </c>
      <c r="AQ807" s="27" t="s">
        <v>58</v>
      </c>
      <c r="AV807" s="25">
        <f t="shared" si="798"/>
        <v>0</v>
      </c>
      <c r="AW807" s="25">
        <f t="shared" si="799"/>
        <v>0</v>
      </c>
      <c r="AX807" s="25">
        <f t="shared" si="800"/>
        <v>0</v>
      </c>
      <c r="AY807" s="27" t="s">
        <v>2385</v>
      </c>
      <c r="AZ807" s="27" t="s">
        <v>305</v>
      </c>
      <c r="BA807" s="11" t="s">
        <v>56</v>
      </c>
      <c r="BC807" s="25">
        <f t="shared" si="801"/>
        <v>0</v>
      </c>
      <c r="BD807" s="25">
        <f t="shared" si="802"/>
        <v>0</v>
      </c>
      <c r="BE807" s="25">
        <v>0</v>
      </c>
      <c r="BF807" s="25">
        <f>807</f>
        <v>807</v>
      </c>
      <c r="BH807" s="25">
        <f t="shared" si="803"/>
        <v>0</v>
      </c>
      <c r="BI807" s="25">
        <f t="shared" si="804"/>
        <v>0</v>
      </c>
      <c r="BJ807" s="25">
        <f t="shared" si="805"/>
        <v>0</v>
      </c>
      <c r="BK807" s="27" t="s">
        <v>57</v>
      </c>
      <c r="BL807" s="25"/>
      <c r="BW807" s="25">
        <v>21</v>
      </c>
      <c r="BX807" s="5" t="s">
        <v>2272</v>
      </c>
    </row>
    <row r="808" spans="1:76" x14ac:dyDescent="0.25">
      <c r="A808" s="2" t="s">
        <v>2397</v>
      </c>
      <c r="B808" s="3" t="s">
        <v>2398</v>
      </c>
      <c r="C808" s="93" t="s">
        <v>2195</v>
      </c>
      <c r="D808" s="94"/>
      <c r="E808" s="3" t="s">
        <v>52</v>
      </c>
      <c r="F808" s="25">
        <v>15</v>
      </c>
      <c r="G808" s="25">
        <v>0</v>
      </c>
      <c r="H808" s="25">
        <f t="shared" si="784"/>
        <v>0</v>
      </c>
      <c r="I808" s="25">
        <f t="shared" si="785"/>
        <v>0</v>
      </c>
      <c r="J808" s="25">
        <f t="shared" si="786"/>
        <v>0</v>
      </c>
      <c r="K808" s="26" t="s">
        <v>53</v>
      </c>
      <c r="Z808" s="25">
        <f t="shared" si="787"/>
        <v>0</v>
      </c>
      <c r="AB808" s="25">
        <f t="shared" si="788"/>
        <v>0</v>
      </c>
      <c r="AC808" s="25">
        <f t="shared" si="789"/>
        <v>0</v>
      </c>
      <c r="AD808" s="25">
        <f t="shared" si="790"/>
        <v>0</v>
      </c>
      <c r="AE808" s="25">
        <f t="shared" si="791"/>
        <v>0</v>
      </c>
      <c r="AF808" s="25">
        <f t="shared" si="792"/>
        <v>0</v>
      </c>
      <c r="AG808" s="25">
        <f t="shared" si="793"/>
        <v>0</v>
      </c>
      <c r="AH808" s="25">
        <f t="shared" si="794"/>
        <v>0</v>
      </c>
      <c r="AI808" s="11" t="s">
        <v>46</v>
      </c>
      <c r="AJ808" s="25">
        <f t="shared" si="795"/>
        <v>0</v>
      </c>
      <c r="AK808" s="25">
        <f t="shared" si="796"/>
        <v>0</v>
      </c>
      <c r="AL808" s="25">
        <f t="shared" si="797"/>
        <v>0</v>
      </c>
      <c r="AN808" s="25">
        <v>21</v>
      </c>
      <c r="AO808" s="25">
        <f>G808*0.569127517</f>
        <v>0</v>
      </c>
      <c r="AP808" s="25">
        <f>G808*(1-0.569127517)</f>
        <v>0</v>
      </c>
      <c r="AQ808" s="27" t="s">
        <v>58</v>
      </c>
      <c r="AV808" s="25">
        <f t="shared" si="798"/>
        <v>0</v>
      </c>
      <c r="AW808" s="25">
        <f t="shared" si="799"/>
        <v>0</v>
      </c>
      <c r="AX808" s="25">
        <f t="shared" si="800"/>
        <v>0</v>
      </c>
      <c r="AY808" s="27" t="s">
        <v>2385</v>
      </c>
      <c r="AZ808" s="27" t="s">
        <v>305</v>
      </c>
      <c r="BA808" s="11" t="s">
        <v>56</v>
      </c>
      <c r="BC808" s="25">
        <f t="shared" si="801"/>
        <v>0</v>
      </c>
      <c r="BD808" s="25">
        <f t="shared" si="802"/>
        <v>0</v>
      </c>
      <c r="BE808" s="25">
        <v>0</v>
      </c>
      <c r="BF808" s="25">
        <f>808</f>
        <v>808</v>
      </c>
      <c r="BH808" s="25">
        <f t="shared" si="803"/>
        <v>0</v>
      </c>
      <c r="BI808" s="25">
        <f t="shared" si="804"/>
        <v>0</v>
      </c>
      <c r="BJ808" s="25">
        <f t="shared" si="805"/>
        <v>0</v>
      </c>
      <c r="BK808" s="27" t="s">
        <v>57</v>
      </c>
      <c r="BL808" s="25"/>
      <c r="BW808" s="25">
        <v>21</v>
      </c>
      <c r="BX808" s="5" t="s">
        <v>2195</v>
      </c>
    </row>
    <row r="809" spans="1:76" x14ac:dyDescent="0.25">
      <c r="A809" s="2" t="s">
        <v>1420</v>
      </c>
      <c r="B809" s="3" t="s">
        <v>2399</v>
      </c>
      <c r="C809" s="93" t="s">
        <v>2198</v>
      </c>
      <c r="D809" s="94"/>
      <c r="E809" s="3" t="s">
        <v>131</v>
      </c>
      <c r="F809" s="25">
        <v>20</v>
      </c>
      <c r="G809" s="25">
        <v>0</v>
      </c>
      <c r="H809" s="25">
        <f t="shared" si="784"/>
        <v>0</v>
      </c>
      <c r="I809" s="25">
        <f t="shared" si="785"/>
        <v>0</v>
      </c>
      <c r="J809" s="25">
        <f t="shared" si="786"/>
        <v>0</v>
      </c>
      <c r="K809" s="26" t="s">
        <v>53</v>
      </c>
      <c r="Z809" s="25">
        <f t="shared" si="787"/>
        <v>0</v>
      </c>
      <c r="AB809" s="25">
        <f t="shared" si="788"/>
        <v>0</v>
      </c>
      <c r="AC809" s="25">
        <f t="shared" si="789"/>
        <v>0</v>
      </c>
      <c r="AD809" s="25">
        <f t="shared" si="790"/>
        <v>0</v>
      </c>
      <c r="AE809" s="25">
        <f t="shared" si="791"/>
        <v>0</v>
      </c>
      <c r="AF809" s="25">
        <f t="shared" si="792"/>
        <v>0</v>
      </c>
      <c r="AG809" s="25">
        <f t="shared" si="793"/>
        <v>0</v>
      </c>
      <c r="AH809" s="25">
        <f t="shared" si="794"/>
        <v>0</v>
      </c>
      <c r="AI809" s="11" t="s">
        <v>46</v>
      </c>
      <c r="AJ809" s="25">
        <f t="shared" si="795"/>
        <v>0</v>
      </c>
      <c r="AK809" s="25">
        <f t="shared" si="796"/>
        <v>0</v>
      </c>
      <c r="AL809" s="25">
        <f t="shared" si="797"/>
        <v>0</v>
      </c>
      <c r="AN809" s="25">
        <v>21</v>
      </c>
      <c r="AO809" s="25">
        <f>G809*0.570002075</f>
        <v>0</v>
      </c>
      <c r="AP809" s="25">
        <f>G809*(1-0.570002075)</f>
        <v>0</v>
      </c>
      <c r="AQ809" s="27" t="s">
        <v>58</v>
      </c>
      <c r="AV809" s="25">
        <f t="shared" si="798"/>
        <v>0</v>
      </c>
      <c r="AW809" s="25">
        <f t="shared" si="799"/>
        <v>0</v>
      </c>
      <c r="AX809" s="25">
        <f t="shared" si="800"/>
        <v>0</v>
      </c>
      <c r="AY809" s="27" t="s">
        <v>2385</v>
      </c>
      <c r="AZ809" s="27" t="s">
        <v>305</v>
      </c>
      <c r="BA809" s="11" t="s">
        <v>56</v>
      </c>
      <c r="BC809" s="25">
        <f t="shared" si="801"/>
        <v>0</v>
      </c>
      <c r="BD809" s="25">
        <f t="shared" si="802"/>
        <v>0</v>
      </c>
      <c r="BE809" s="25">
        <v>0</v>
      </c>
      <c r="BF809" s="25">
        <f>809</f>
        <v>809</v>
      </c>
      <c r="BH809" s="25">
        <f t="shared" si="803"/>
        <v>0</v>
      </c>
      <c r="BI809" s="25">
        <f t="shared" si="804"/>
        <v>0</v>
      </c>
      <c r="BJ809" s="25">
        <f t="shared" si="805"/>
        <v>0</v>
      </c>
      <c r="BK809" s="27" t="s">
        <v>57</v>
      </c>
      <c r="BL809" s="25"/>
      <c r="BW809" s="25">
        <v>21</v>
      </c>
      <c r="BX809" s="5" t="s">
        <v>2198</v>
      </c>
    </row>
    <row r="810" spans="1:76" x14ac:dyDescent="0.25">
      <c r="A810" s="2" t="s">
        <v>2400</v>
      </c>
      <c r="B810" s="3" t="s">
        <v>2401</v>
      </c>
      <c r="C810" s="93" t="s">
        <v>2201</v>
      </c>
      <c r="D810" s="94"/>
      <c r="E810" s="3" t="s">
        <v>131</v>
      </c>
      <c r="F810" s="25">
        <v>20</v>
      </c>
      <c r="G810" s="25">
        <v>0</v>
      </c>
      <c r="H810" s="25">
        <f t="shared" si="784"/>
        <v>0</v>
      </c>
      <c r="I810" s="25">
        <f t="shared" si="785"/>
        <v>0</v>
      </c>
      <c r="J810" s="25">
        <f t="shared" si="786"/>
        <v>0</v>
      </c>
      <c r="K810" s="26" t="s">
        <v>53</v>
      </c>
      <c r="Z810" s="25">
        <f t="shared" si="787"/>
        <v>0</v>
      </c>
      <c r="AB810" s="25">
        <f t="shared" si="788"/>
        <v>0</v>
      </c>
      <c r="AC810" s="25">
        <f t="shared" si="789"/>
        <v>0</v>
      </c>
      <c r="AD810" s="25">
        <f t="shared" si="790"/>
        <v>0</v>
      </c>
      <c r="AE810" s="25">
        <f t="shared" si="791"/>
        <v>0</v>
      </c>
      <c r="AF810" s="25">
        <f t="shared" si="792"/>
        <v>0</v>
      </c>
      <c r="AG810" s="25">
        <f t="shared" si="793"/>
        <v>0</v>
      </c>
      <c r="AH810" s="25">
        <f t="shared" si="794"/>
        <v>0</v>
      </c>
      <c r="AI810" s="11" t="s">
        <v>46</v>
      </c>
      <c r="AJ810" s="25">
        <f t="shared" si="795"/>
        <v>0</v>
      </c>
      <c r="AK810" s="25">
        <f t="shared" si="796"/>
        <v>0</v>
      </c>
      <c r="AL810" s="25">
        <f t="shared" si="797"/>
        <v>0</v>
      </c>
      <c r="AN810" s="25">
        <v>21</v>
      </c>
      <c r="AO810" s="25">
        <f>G810*0.569994348</f>
        <v>0</v>
      </c>
      <c r="AP810" s="25">
        <f>G810*(1-0.569994348)</f>
        <v>0</v>
      </c>
      <c r="AQ810" s="27" t="s">
        <v>58</v>
      </c>
      <c r="AV810" s="25">
        <f t="shared" si="798"/>
        <v>0</v>
      </c>
      <c r="AW810" s="25">
        <f t="shared" si="799"/>
        <v>0</v>
      </c>
      <c r="AX810" s="25">
        <f t="shared" si="800"/>
        <v>0</v>
      </c>
      <c r="AY810" s="27" t="s">
        <v>2385</v>
      </c>
      <c r="AZ810" s="27" t="s">
        <v>305</v>
      </c>
      <c r="BA810" s="11" t="s">
        <v>56</v>
      </c>
      <c r="BC810" s="25">
        <f t="shared" si="801"/>
        <v>0</v>
      </c>
      <c r="BD810" s="25">
        <f t="shared" si="802"/>
        <v>0</v>
      </c>
      <c r="BE810" s="25">
        <v>0</v>
      </c>
      <c r="BF810" s="25">
        <f>810</f>
        <v>810</v>
      </c>
      <c r="BH810" s="25">
        <f t="shared" si="803"/>
        <v>0</v>
      </c>
      <c r="BI810" s="25">
        <f t="shared" si="804"/>
        <v>0</v>
      </c>
      <c r="BJ810" s="25">
        <f t="shared" si="805"/>
        <v>0</v>
      </c>
      <c r="BK810" s="27" t="s">
        <v>57</v>
      </c>
      <c r="BL810" s="25"/>
      <c r="BW810" s="25">
        <v>21</v>
      </c>
      <c r="BX810" s="5" t="s">
        <v>2201</v>
      </c>
    </row>
    <row r="811" spans="1:76" x14ac:dyDescent="0.25">
      <c r="A811" s="2" t="s">
        <v>1433</v>
      </c>
      <c r="B811" s="3" t="s">
        <v>2402</v>
      </c>
      <c r="C811" s="93" t="s">
        <v>2370</v>
      </c>
      <c r="D811" s="94"/>
      <c r="E811" s="3" t="s">
        <v>52</v>
      </c>
      <c r="F811" s="25">
        <v>1</v>
      </c>
      <c r="G811" s="25">
        <v>0</v>
      </c>
      <c r="H811" s="25">
        <f t="shared" si="784"/>
        <v>0</v>
      </c>
      <c r="I811" s="25">
        <f t="shared" si="785"/>
        <v>0</v>
      </c>
      <c r="J811" s="25">
        <f t="shared" si="786"/>
        <v>0</v>
      </c>
      <c r="K811" s="26" t="s">
        <v>53</v>
      </c>
      <c r="Z811" s="25">
        <f t="shared" si="787"/>
        <v>0</v>
      </c>
      <c r="AB811" s="25">
        <f t="shared" si="788"/>
        <v>0</v>
      </c>
      <c r="AC811" s="25">
        <f t="shared" si="789"/>
        <v>0</v>
      </c>
      <c r="AD811" s="25">
        <f t="shared" si="790"/>
        <v>0</v>
      </c>
      <c r="AE811" s="25">
        <f t="shared" si="791"/>
        <v>0</v>
      </c>
      <c r="AF811" s="25">
        <f t="shared" si="792"/>
        <v>0</v>
      </c>
      <c r="AG811" s="25">
        <f t="shared" si="793"/>
        <v>0</v>
      </c>
      <c r="AH811" s="25">
        <f t="shared" si="794"/>
        <v>0</v>
      </c>
      <c r="AI811" s="11" t="s">
        <v>46</v>
      </c>
      <c r="AJ811" s="25">
        <f t="shared" si="795"/>
        <v>0</v>
      </c>
      <c r="AK811" s="25">
        <f t="shared" si="796"/>
        <v>0</v>
      </c>
      <c r="AL811" s="25">
        <f t="shared" si="797"/>
        <v>0</v>
      </c>
      <c r="AN811" s="25">
        <v>21</v>
      </c>
      <c r="AO811" s="25">
        <f>G811*0</f>
        <v>0</v>
      </c>
      <c r="AP811" s="25">
        <f>G811*(1-0)</f>
        <v>0</v>
      </c>
      <c r="AQ811" s="27" t="s">
        <v>58</v>
      </c>
      <c r="AV811" s="25">
        <f t="shared" si="798"/>
        <v>0</v>
      </c>
      <c r="AW811" s="25">
        <f t="shared" si="799"/>
        <v>0</v>
      </c>
      <c r="AX811" s="25">
        <f t="shared" si="800"/>
        <v>0</v>
      </c>
      <c r="AY811" s="27" t="s">
        <v>2385</v>
      </c>
      <c r="AZ811" s="27" t="s">
        <v>305</v>
      </c>
      <c r="BA811" s="11" t="s">
        <v>56</v>
      </c>
      <c r="BC811" s="25">
        <f t="shared" si="801"/>
        <v>0</v>
      </c>
      <c r="BD811" s="25">
        <f t="shared" si="802"/>
        <v>0</v>
      </c>
      <c r="BE811" s="25">
        <v>0</v>
      </c>
      <c r="BF811" s="25">
        <f>811</f>
        <v>811</v>
      </c>
      <c r="BH811" s="25">
        <f t="shared" si="803"/>
        <v>0</v>
      </c>
      <c r="BI811" s="25">
        <f t="shared" si="804"/>
        <v>0</v>
      </c>
      <c r="BJ811" s="25">
        <f t="shared" si="805"/>
        <v>0</v>
      </c>
      <c r="BK811" s="27" t="s">
        <v>57</v>
      </c>
      <c r="BL811" s="25"/>
      <c r="BW811" s="25">
        <v>21</v>
      </c>
      <c r="BX811" s="5" t="s">
        <v>2370</v>
      </c>
    </row>
    <row r="812" spans="1:76" x14ac:dyDescent="0.25">
      <c r="A812" s="2" t="s">
        <v>2403</v>
      </c>
      <c r="B812" s="3" t="s">
        <v>2404</v>
      </c>
      <c r="C812" s="93" t="s">
        <v>2373</v>
      </c>
      <c r="D812" s="94"/>
      <c r="E812" s="3" t="s">
        <v>52</v>
      </c>
      <c r="F812" s="25">
        <v>1</v>
      </c>
      <c r="G812" s="25">
        <v>0</v>
      </c>
      <c r="H812" s="25">
        <f t="shared" si="784"/>
        <v>0</v>
      </c>
      <c r="I812" s="25">
        <f t="shared" si="785"/>
        <v>0</v>
      </c>
      <c r="J812" s="25">
        <f t="shared" si="786"/>
        <v>0</v>
      </c>
      <c r="K812" s="26" t="s">
        <v>53</v>
      </c>
      <c r="Z812" s="25">
        <f t="shared" si="787"/>
        <v>0</v>
      </c>
      <c r="AB812" s="25">
        <f t="shared" si="788"/>
        <v>0</v>
      </c>
      <c r="AC812" s="25">
        <f t="shared" si="789"/>
        <v>0</v>
      </c>
      <c r="AD812" s="25">
        <f t="shared" si="790"/>
        <v>0</v>
      </c>
      <c r="AE812" s="25">
        <f t="shared" si="791"/>
        <v>0</v>
      </c>
      <c r="AF812" s="25">
        <f t="shared" si="792"/>
        <v>0</v>
      </c>
      <c r="AG812" s="25">
        <f t="shared" si="793"/>
        <v>0</v>
      </c>
      <c r="AH812" s="25">
        <f t="shared" si="794"/>
        <v>0</v>
      </c>
      <c r="AI812" s="11" t="s">
        <v>46</v>
      </c>
      <c r="AJ812" s="25">
        <f t="shared" si="795"/>
        <v>0</v>
      </c>
      <c r="AK812" s="25">
        <f t="shared" si="796"/>
        <v>0</v>
      </c>
      <c r="AL812" s="25">
        <f t="shared" si="797"/>
        <v>0</v>
      </c>
      <c r="AN812" s="25">
        <v>21</v>
      </c>
      <c r="AO812" s="25">
        <f>G812*0</f>
        <v>0</v>
      </c>
      <c r="AP812" s="25">
        <f>G812*(1-0)</f>
        <v>0</v>
      </c>
      <c r="AQ812" s="27" t="s">
        <v>58</v>
      </c>
      <c r="AV812" s="25">
        <f t="shared" si="798"/>
        <v>0</v>
      </c>
      <c r="AW812" s="25">
        <f t="shared" si="799"/>
        <v>0</v>
      </c>
      <c r="AX812" s="25">
        <f t="shared" si="800"/>
        <v>0</v>
      </c>
      <c r="AY812" s="27" t="s">
        <v>2385</v>
      </c>
      <c r="AZ812" s="27" t="s">
        <v>305</v>
      </c>
      <c r="BA812" s="11" t="s">
        <v>56</v>
      </c>
      <c r="BC812" s="25">
        <f t="shared" si="801"/>
        <v>0</v>
      </c>
      <c r="BD812" s="25">
        <f t="shared" si="802"/>
        <v>0</v>
      </c>
      <c r="BE812" s="25">
        <v>0</v>
      </c>
      <c r="BF812" s="25">
        <f>812</f>
        <v>812</v>
      </c>
      <c r="BH812" s="25">
        <f t="shared" si="803"/>
        <v>0</v>
      </c>
      <c r="BI812" s="25">
        <f t="shared" si="804"/>
        <v>0</v>
      </c>
      <c r="BJ812" s="25">
        <f t="shared" si="805"/>
        <v>0</v>
      </c>
      <c r="BK812" s="27" t="s">
        <v>57</v>
      </c>
      <c r="BL812" s="25"/>
      <c r="BW812" s="25">
        <v>21</v>
      </c>
      <c r="BX812" s="5" t="s">
        <v>2373</v>
      </c>
    </row>
    <row r="813" spans="1:76" x14ac:dyDescent="0.25">
      <c r="A813" s="2" t="s">
        <v>1448</v>
      </c>
      <c r="B813" s="3" t="s">
        <v>2405</v>
      </c>
      <c r="C813" s="93" t="s">
        <v>2291</v>
      </c>
      <c r="D813" s="94"/>
      <c r="E813" s="3" t="s">
        <v>52</v>
      </c>
      <c r="F813" s="25">
        <v>1</v>
      </c>
      <c r="G813" s="25">
        <v>0</v>
      </c>
      <c r="H813" s="25">
        <f t="shared" si="784"/>
        <v>0</v>
      </c>
      <c r="I813" s="25">
        <f t="shared" si="785"/>
        <v>0</v>
      </c>
      <c r="J813" s="25">
        <f t="shared" si="786"/>
        <v>0</v>
      </c>
      <c r="K813" s="26" t="s">
        <v>53</v>
      </c>
      <c r="Z813" s="25">
        <f t="shared" si="787"/>
        <v>0</v>
      </c>
      <c r="AB813" s="25">
        <f t="shared" si="788"/>
        <v>0</v>
      </c>
      <c r="AC813" s="25">
        <f t="shared" si="789"/>
        <v>0</v>
      </c>
      <c r="AD813" s="25">
        <f t="shared" si="790"/>
        <v>0</v>
      </c>
      <c r="AE813" s="25">
        <f t="shared" si="791"/>
        <v>0</v>
      </c>
      <c r="AF813" s="25">
        <f t="shared" si="792"/>
        <v>0</v>
      </c>
      <c r="AG813" s="25">
        <f t="shared" si="793"/>
        <v>0</v>
      </c>
      <c r="AH813" s="25">
        <f t="shared" si="794"/>
        <v>0</v>
      </c>
      <c r="AI813" s="11" t="s">
        <v>46</v>
      </c>
      <c r="AJ813" s="25">
        <f t="shared" si="795"/>
        <v>0</v>
      </c>
      <c r="AK813" s="25">
        <f t="shared" si="796"/>
        <v>0</v>
      </c>
      <c r="AL813" s="25">
        <f t="shared" si="797"/>
        <v>0</v>
      </c>
      <c r="AN813" s="25">
        <v>21</v>
      </c>
      <c r="AO813" s="25">
        <f>G813*0</f>
        <v>0</v>
      </c>
      <c r="AP813" s="25">
        <f>G813*(1-0)</f>
        <v>0</v>
      </c>
      <c r="AQ813" s="27" t="s">
        <v>58</v>
      </c>
      <c r="AV813" s="25">
        <f t="shared" si="798"/>
        <v>0</v>
      </c>
      <c r="AW813" s="25">
        <f t="shared" si="799"/>
        <v>0</v>
      </c>
      <c r="AX813" s="25">
        <f t="shared" si="800"/>
        <v>0</v>
      </c>
      <c r="AY813" s="27" t="s">
        <v>2385</v>
      </c>
      <c r="AZ813" s="27" t="s">
        <v>305</v>
      </c>
      <c r="BA813" s="11" t="s">
        <v>56</v>
      </c>
      <c r="BC813" s="25">
        <f t="shared" si="801"/>
        <v>0</v>
      </c>
      <c r="BD813" s="25">
        <f t="shared" si="802"/>
        <v>0</v>
      </c>
      <c r="BE813" s="25">
        <v>0</v>
      </c>
      <c r="BF813" s="25">
        <f>813</f>
        <v>813</v>
      </c>
      <c r="BH813" s="25">
        <f t="shared" si="803"/>
        <v>0</v>
      </c>
      <c r="BI813" s="25">
        <f t="shared" si="804"/>
        <v>0</v>
      </c>
      <c r="BJ813" s="25">
        <f t="shared" si="805"/>
        <v>0</v>
      </c>
      <c r="BK813" s="27" t="s">
        <v>57</v>
      </c>
      <c r="BL813" s="25"/>
      <c r="BW813" s="25">
        <v>21</v>
      </c>
      <c r="BX813" s="5" t="s">
        <v>2291</v>
      </c>
    </row>
    <row r="814" spans="1:76" x14ac:dyDescent="0.25">
      <c r="A814" s="2" t="s">
        <v>1541</v>
      </c>
      <c r="B814" s="3" t="s">
        <v>2406</v>
      </c>
      <c r="C814" s="93" t="s">
        <v>2237</v>
      </c>
      <c r="D814" s="94"/>
      <c r="E814" s="3" t="s">
        <v>52</v>
      </c>
      <c r="F814" s="25">
        <v>1</v>
      </c>
      <c r="G814" s="25">
        <v>0</v>
      </c>
      <c r="H814" s="25">
        <f t="shared" si="784"/>
        <v>0</v>
      </c>
      <c r="I814" s="25">
        <f t="shared" si="785"/>
        <v>0</v>
      </c>
      <c r="J814" s="25">
        <f t="shared" si="786"/>
        <v>0</v>
      </c>
      <c r="K814" s="26" t="s">
        <v>53</v>
      </c>
      <c r="Z814" s="25">
        <f t="shared" si="787"/>
        <v>0</v>
      </c>
      <c r="AB814" s="25">
        <f t="shared" si="788"/>
        <v>0</v>
      </c>
      <c r="AC814" s="25">
        <f t="shared" si="789"/>
        <v>0</v>
      </c>
      <c r="AD814" s="25">
        <f t="shared" si="790"/>
        <v>0</v>
      </c>
      <c r="AE814" s="25">
        <f t="shared" si="791"/>
        <v>0</v>
      </c>
      <c r="AF814" s="25">
        <f t="shared" si="792"/>
        <v>0</v>
      </c>
      <c r="AG814" s="25">
        <f t="shared" si="793"/>
        <v>0</v>
      </c>
      <c r="AH814" s="25">
        <f t="shared" si="794"/>
        <v>0</v>
      </c>
      <c r="AI814" s="11" t="s">
        <v>46</v>
      </c>
      <c r="AJ814" s="25">
        <f t="shared" si="795"/>
        <v>0</v>
      </c>
      <c r="AK814" s="25">
        <f t="shared" si="796"/>
        <v>0</v>
      </c>
      <c r="AL814" s="25">
        <f t="shared" si="797"/>
        <v>0</v>
      </c>
      <c r="AN814" s="25">
        <v>21</v>
      </c>
      <c r="AO814" s="25">
        <f>G814*0</f>
        <v>0</v>
      </c>
      <c r="AP814" s="25">
        <f>G814*(1-0)</f>
        <v>0</v>
      </c>
      <c r="AQ814" s="27" t="s">
        <v>58</v>
      </c>
      <c r="AV814" s="25">
        <f t="shared" si="798"/>
        <v>0</v>
      </c>
      <c r="AW814" s="25">
        <f t="shared" si="799"/>
        <v>0</v>
      </c>
      <c r="AX814" s="25">
        <f t="shared" si="800"/>
        <v>0</v>
      </c>
      <c r="AY814" s="27" t="s">
        <v>2385</v>
      </c>
      <c r="AZ814" s="27" t="s">
        <v>305</v>
      </c>
      <c r="BA814" s="11" t="s">
        <v>56</v>
      </c>
      <c r="BC814" s="25">
        <f t="shared" si="801"/>
        <v>0</v>
      </c>
      <c r="BD814" s="25">
        <f t="shared" si="802"/>
        <v>0</v>
      </c>
      <c r="BE814" s="25">
        <v>0</v>
      </c>
      <c r="BF814" s="25">
        <f>814</f>
        <v>814</v>
      </c>
      <c r="BH814" s="25">
        <f t="shared" si="803"/>
        <v>0</v>
      </c>
      <c r="BI814" s="25">
        <f t="shared" si="804"/>
        <v>0</v>
      </c>
      <c r="BJ814" s="25">
        <f t="shared" si="805"/>
        <v>0</v>
      </c>
      <c r="BK814" s="27" t="s">
        <v>57</v>
      </c>
      <c r="BL814" s="25"/>
      <c r="BW814" s="25">
        <v>21</v>
      </c>
      <c r="BX814" s="5" t="s">
        <v>2237</v>
      </c>
    </row>
    <row r="815" spans="1:76" x14ac:dyDescent="0.25">
      <c r="A815" s="2" t="s">
        <v>2407</v>
      </c>
      <c r="B815" s="3" t="s">
        <v>2408</v>
      </c>
      <c r="C815" s="93" t="s">
        <v>2240</v>
      </c>
      <c r="D815" s="94"/>
      <c r="E815" s="3" t="s">
        <v>52</v>
      </c>
      <c r="F815" s="25">
        <v>1</v>
      </c>
      <c r="G815" s="25">
        <v>0</v>
      </c>
      <c r="H815" s="25">
        <f t="shared" si="784"/>
        <v>0</v>
      </c>
      <c r="I815" s="25">
        <f t="shared" si="785"/>
        <v>0</v>
      </c>
      <c r="J815" s="25">
        <f t="shared" si="786"/>
        <v>0</v>
      </c>
      <c r="K815" s="26" t="s">
        <v>53</v>
      </c>
      <c r="Z815" s="25">
        <f t="shared" si="787"/>
        <v>0</v>
      </c>
      <c r="AB815" s="25">
        <f t="shared" si="788"/>
        <v>0</v>
      </c>
      <c r="AC815" s="25">
        <f t="shared" si="789"/>
        <v>0</v>
      </c>
      <c r="AD815" s="25">
        <f t="shared" si="790"/>
        <v>0</v>
      </c>
      <c r="AE815" s="25">
        <f t="shared" si="791"/>
        <v>0</v>
      </c>
      <c r="AF815" s="25">
        <f t="shared" si="792"/>
        <v>0</v>
      </c>
      <c r="AG815" s="25">
        <f t="shared" si="793"/>
        <v>0</v>
      </c>
      <c r="AH815" s="25">
        <f t="shared" si="794"/>
        <v>0</v>
      </c>
      <c r="AI815" s="11" t="s">
        <v>46</v>
      </c>
      <c r="AJ815" s="25">
        <f t="shared" si="795"/>
        <v>0</v>
      </c>
      <c r="AK815" s="25">
        <f t="shared" si="796"/>
        <v>0</v>
      </c>
      <c r="AL815" s="25">
        <f t="shared" si="797"/>
        <v>0</v>
      </c>
      <c r="AN815" s="25">
        <v>21</v>
      </c>
      <c r="AO815" s="25">
        <f>G815*1</f>
        <v>0</v>
      </c>
      <c r="AP815" s="25">
        <f>G815*(1-1)</f>
        <v>0</v>
      </c>
      <c r="AQ815" s="27" t="s">
        <v>58</v>
      </c>
      <c r="AV815" s="25">
        <f t="shared" si="798"/>
        <v>0</v>
      </c>
      <c r="AW815" s="25">
        <f t="shared" si="799"/>
        <v>0</v>
      </c>
      <c r="AX815" s="25">
        <f t="shared" si="800"/>
        <v>0</v>
      </c>
      <c r="AY815" s="27" t="s">
        <v>2385</v>
      </c>
      <c r="AZ815" s="27" t="s">
        <v>305</v>
      </c>
      <c r="BA815" s="11" t="s">
        <v>56</v>
      </c>
      <c r="BC815" s="25">
        <f t="shared" si="801"/>
        <v>0</v>
      </c>
      <c r="BD815" s="25">
        <f t="shared" si="802"/>
        <v>0</v>
      </c>
      <c r="BE815" s="25">
        <v>0</v>
      </c>
      <c r="BF815" s="25">
        <f>815</f>
        <v>815</v>
      </c>
      <c r="BH815" s="25">
        <f t="shared" si="803"/>
        <v>0</v>
      </c>
      <c r="BI815" s="25">
        <f t="shared" si="804"/>
        <v>0</v>
      </c>
      <c r="BJ815" s="25">
        <f t="shared" si="805"/>
        <v>0</v>
      </c>
      <c r="BK815" s="27" t="s">
        <v>57</v>
      </c>
      <c r="BL815" s="25"/>
      <c r="BW815" s="25">
        <v>21</v>
      </c>
      <c r="BX815" s="5" t="s">
        <v>2240</v>
      </c>
    </row>
    <row r="816" spans="1:76" x14ac:dyDescent="0.25">
      <c r="A816" s="28" t="s">
        <v>46</v>
      </c>
      <c r="B816" s="29" t="s">
        <v>2409</v>
      </c>
      <c r="C816" s="150" t="s">
        <v>2410</v>
      </c>
      <c r="D816" s="151"/>
      <c r="E816" s="30" t="s">
        <v>4</v>
      </c>
      <c r="F816" s="30" t="s">
        <v>4</v>
      </c>
      <c r="G816" s="30" t="s">
        <v>4</v>
      </c>
      <c r="H816" s="1">
        <f>ROUND(SUM(H817:H828),1)</f>
        <v>0</v>
      </c>
      <c r="I816" s="1">
        <f>ROUND(SUM(I817:I828),1)</f>
        <v>0</v>
      </c>
      <c r="J816" s="1">
        <f>ROUND(SUM(J817:J828),1)</f>
        <v>0</v>
      </c>
      <c r="K816" s="31" t="s">
        <v>46</v>
      </c>
      <c r="AI816" s="11" t="s">
        <v>46</v>
      </c>
      <c r="AS816" s="1">
        <f>SUM(AJ817:AJ828)</f>
        <v>0</v>
      </c>
      <c r="AT816" s="1">
        <f>SUM(AK817:AK828)</f>
        <v>0</v>
      </c>
      <c r="AU816" s="1">
        <f>SUM(AL817:AL828)</f>
        <v>0</v>
      </c>
    </row>
    <row r="817" spans="1:76" x14ac:dyDescent="0.25">
      <c r="A817" s="2" t="s">
        <v>2411</v>
      </c>
      <c r="B817" s="3" t="s">
        <v>2412</v>
      </c>
      <c r="C817" s="93" t="s">
        <v>2413</v>
      </c>
      <c r="D817" s="94"/>
      <c r="E817" s="3" t="s">
        <v>52</v>
      </c>
      <c r="F817" s="25">
        <v>1</v>
      </c>
      <c r="G817" s="25">
        <v>0</v>
      </c>
      <c r="H817" s="25">
        <f t="shared" ref="H817:H828" si="806">ROUND(F817*AO817,2)</f>
        <v>0</v>
      </c>
      <c r="I817" s="25">
        <f t="shared" ref="I817:I828" si="807">ROUND(F817*AP817,2)</f>
        <v>0</v>
      </c>
      <c r="J817" s="25">
        <f t="shared" ref="J817:J828" si="808">ROUND(F817*G817,1)</f>
        <v>0</v>
      </c>
      <c r="K817" s="26" t="s">
        <v>53</v>
      </c>
      <c r="Z817" s="25">
        <f t="shared" ref="Z817:Z828" si="809">ROUND(IF(AQ817="5",BJ817,0),2)</f>
        <v>0</v>
      </c>
      <c r="AB817" s="25">
        <f t="shared" ref="AB817:AB828" si="810">ROUND(IF(AQ817="1",BH817,0),2)</f>
        <v>0</v>
      </c>
      <c r="AC817" s="25">
        <f t="shared" ref="AC817:AC828" si="811">ROUND(IF(AQ817="1",BI817,0),2)</f>
        <v>0</v>
      </c>
      <c r="AD817" s="25">
        <f t="shared" ref="AD817:AD828" si="812">ROUND(IF(AQ817="7",BH817,0),2)</f>
        <v>0</v>
      </c>
      <c r="AE817" s="25">
        <f t="shared" ref="AE817:AE828" si="813">ROUND(IF(AQ817="7",BI817,0),2)</f>
        <v>0</v>
      </c>
      <c r="AF817" s="25">
        <f t="shared" ref="AF817:AF828" si="814">ROUND(IF(AQ817="2",BH817,0),2)</f>
        <v>0</v>
      </c>
      <c r="AG817" s="25">
        <f t="shared" ref="AG817:AG828" si="815">ROUND(IF(AQ817="2",BI817,0),2)</f>
        <v>0</v>
      </c>
      <c r="AH817" s="25">
        <f t="shared" ref="AH817:AH828" si="816">ROUND(IF(AQ817="0",BJ817,0),2)</f>
        <v>0</v>
      </c>
      <c r="AI817" s="11" t="s">
        <v>46</v>
      </c>
      <c r="AJ817" s="25">
        <f t="shared" ref="AJ817:AJ828" si="817">IF(AN817=0,J817,0)</f>
        <v>0</v>
      </c>
      <c r="AK817" s="25">
        <f t="shared" ref="AK817:AK828" si="818">IF(AN817=12,J817,0)</f>
        <v>0</v>
      </c>
      <c r="AL817" s="25">
        <f t="shared" ref="AL817:AL828" si="819">IF(AN817=21,J817,0)</f>
        <v>0</v>
      </c>
      <c r="AN817" s="25">
        <v>21</v>
      </c>
      <c r="AO817" s="25">
        <f>G817*0.569979767</f>
        <v>0</v>
      </c>
      <c r="AP817" s="25">
        <f>G817*(1-0.569979767)</f>
        <v>0</v>
      </c>
      <c r="AQ817" s="27" t="s">
        <v>58</v>
      </c>
      <c r="AV817" s="25">
        <f t="shared" ref="AV817:AV828" si="820">ROUND(AW817+AX817,2)</f>
        <v>0</v>
      </c>
      <c r="AW817" s="25">
        <f t="shared" ref="AW817:AW828" si="821">ROUND(F817*AO817,2)</f>
        <v>0</v>
      </c>
      <c r="AX817" s="25">
        <f t="shared" ref="AX817:AX828" si="822">ROUND(F817*AP817,2)</f>
        <v>0</v>
      </c>
      <c r="AY817" s="27" t="s">
        <v>2414</v>
      </c>
      <c r="AZ817" s="27" t="s">
        <v>305</v>
      </c>
      <c r="BA817" s="11" t="s">
        <v>56</v>
      </c>
      <c r="BC817" s="25">
        <f t="shared" ref="BC817:BC828" si="823">AW817+AX817</f>
        <v>0</v>
      </c>
      <c r="BD817" s="25">
        <f t="shared" ref="BD817:BD828" si="824">G817/(100-BE817)*100</f>
        <v>0</v>
      </c>
      <c r="BE817" s="25">
        <v>0</v>
      </c>
      <c r="BF817" s="25">
        <f>817</f>
        <v>817</v>
      </c>
      <c r="BH817" s="25">
        <f t="shared" ref="BH817:BH828" si="825">F817*AO817</f>
        <v>0</v>
      </c>
      <c r="BI817" s="25">
        <f t="shared" ref="BI817:BI828" si="826">F817*AP817</f>
        <v>0</v>
      </c>
      <c r="BJ817" s="25">
        <f t="shared" ref="BJ817:BJ828" si="827">F817*G817</f>
        <v>0</v>
      </c>
      <c r="BK817" s="27" t="s">
        <v>57</v>
      </c>
      <c r="BL817" s="25"/>
      <c r="BW817" s="25">
        <v>21</v>
      </c>
      <c r="BX817" s="5" t="s">
        <v>2413</v>
      </c>
    </row>
    <row r="818" spans="1:76" x14ac:dyDescent="0.25">
      <c r="A818" s="2" t="s">
        <v>2415</v>
      </c>
      <c r="B818" s="3" t="s">
        <v>2416</v>
      </c>
      <c r="C818" s="93" t="s">
        <v>2417</v>
      </c>
      <c r="D818" s="94"/>
      <c r="E818" s="3" t="s">
        <v>52</v>
      </c>
      <c r="F818" s="25">
        <v>4</v>
      </c>
      <c r="G818" s="25">
        <v>0</v>
      </c>
      <c r="H818" s="25">
        <f t="shared" si="806"/>
        <v>0</v>
      </c>
      <c r="I818" s="25">
        <f t="shared" si="807"/>
        <v>0</v>
      </c>
      <c r="J818" s="25">
        <f t="shared" si="808"/>
        <v>0</v>
      </c>
      <c r="K818" s="26" t="s">
        <v>53</v>
      </c>
      <c r="Z818" s="25">
        <f t="shared" si="809"/>
        <v>0</v>
      </c>
      <c r="AB818" s="25">
        <f t="shared" si="810"/>
        <v>0</v>
      </c>
      <c r="AC818" s="25">
        <f t="shared" si="811"/>
        <v>0</v>
      </c>
      <c r="AD818" s="25">
        <f t="shared" si="812"/>
        <v>0</v>
      </c>
      <c r="AE818" s="25">
        <f t="shared" si="813"/>
        <v>0</v>
      </c>
      <c r="AF818" s="25">
        <f t="shared" si="814"/>
        <v>0</v>
      </c>
      <c r="AG818" s="25">
        <f t="shared" si="815"/>
        <v>0</v>
      </c>
      <c r="AH818" s="25">
        <f t="shared" si="816"/>
        <v>0</v>
      </c>
      <c r="AI818" s="11" t="s">
        <v>46</v>
      </c>
      <c r="AJ818" s="25">
        <f t="shared" si="817"/>
        <v>0</v>
      </c>
      <c r="AK818" s="25">
        <f t="shared" si="818"/>
        <v>0</v>
      </c>
      <c r="AL818" s="25">
        <f t="shared" si="819"/>
        <v>0</v>
      </c>
      <c r="AN818" s="25">
        <v>21</v>
      </c>
      <c r="AO818" s="25">
        <f>G818*0.569987021</f>
        <v>0</v>
      </c>
      <c r="AP818" s="25">
        <f>G818*(1-0.569987021)</f>
        <v>0</v>
      </c>
      <c r="AQ818" s="27" t="s">
        <v>58</v>
      </c>
      <c r="AV818" s="25">
        <f t="shared" si="820"/>
        <v>0</v>
      </c>
      <c r="AW818" s="25">
        <f t="shared" si="821"/>
        <v>0</v>
      </c>
      <c r="AX818" s="25">
        <f t="shared" si="822"/>
        <v>0</v>
      </c>
      <c r="AY818" s="27" t="s">
        <v>2414</v>
      </c>
      <c r="AZ818" s="27" t="s">
        <v>305</v>
      </c>
      <c r="BA818" s="11" t="s">
        <v>56</v>
      </c>
      <c r="BC818" s="25">
        <f t="shared" si="823"/>
        <v>0</v>
      </c>
      <c r="BD818" s="25">
        <f t="shared" si="824"/>
        <v>0</v>
      </c>
      <c r="BE818" s="25">
        <v>0</v>
      </c>
      <c r="BF818" s="25">
        <f>818</f>
        <v>818</v>
      </c>
      <c r="BH818" s="25">
        <f t="shared" si="825"/>
        <v>0</v>
      </c>
      <c r="BI818" s="25">
        <f t="shared" si="826"/>
        <v>0</v>
      </c>
      <c r="BJ818" s="25">
        <f t="shared" si="827"/>
        <v>0</v>
      </c>
      <c r="BK818" s="27" t="s">
        <v>57</v>
      </c>
      <c r="BL818" s="25"/>
      <c r="BW818" s="25">
        <v>21</v>
      </c>
      <c r="BX818" s="5" t="s">
        <v>2417</v>
      </c>
    </row>
    <row r="819" spans="1:76" x14ac:dyDescent="0.25">
      <c r="A819" s="2" t="s">
        <v>1646</v>
      </c>
      <c r="B819" s="3" t="s">
        <v>2418</v>
      </c>
      <c r="C819" s="93" t="s">
        <v>2419</v>
      </c>
      <c r="D819" s="94"/>
      <c r="E819" s="3" t="s">
        <v>52</v>
      </c>
      <c r="F819" s="25">
        <v>4</v>
      </c>
      <c r="G819" s="25">
        <v>0</v>
      </c>
      <c r="H819" s="25">
        <f t="shared" si="806"/>
        <v>0</v>
      </c>
      <c r="I819" s="25">
        <f t="shared" si="807"/>
        <v>0</v>
      </c>
      <c r="J819" s="25">
        <f t="shared" si="808"/>
        <v>0</v>
      </c>
      <c r="K819" s="26" t="s">
        <v>53</v>
      </c>
      <c r="Z819" s="25">
        <f t="shared" si="809"/>
        <v>0</v>
      </c>
      <c r="AB819" s="25">
        <f t="shared" si="810"/>
        <v>0</v>
      </c>
      <c r="AC819" s="25">
        <f t="shared" si="811"/>
        <v>0</v>
      </c>
      <c r="AD819" s="25">
        <f t="shared" si="812"/>
        <v>0</v>
      </c>
      <c r="AE819" s="25">
        <f t="shared" si="813"/>
        <v>0</v>
      </c>
      <c r="AF819" s="25">
        <f t="shared" si="814"/>
        <v>0</v>
      </c>
      <c r="AG819" s="25">
        <f t="shared" si="815"/>
        <v>0</v>
      </c>
      <c r="AH819" s="25">
        <f t="shared" si="816"/>
        <v>0</v>
      </c>
      <c r="AI819" s="11" t="s">
        <v>46</v>
      </c>
      <c r="AJ819" s="25">
        <f t="shared" si="817"/>
        <v>0</v>
      </c>
      <c r="AK819" s="25">
        <f t="shared" si="818"/>
        <v>0</v>
      </c>
      <c r="AL819" s="25">
        <f t="shared" si="819"/>
        <v>0</v>
      </c>
      <c r="AN819" s="25">
        <v>21</v>
      </c>
      <c r="AO819" s="25">
        <f>G819*0.570133588</f>
        <v>0</v>
      </c>
      <c r="AP819" s="25">
        <f>G819*(1-0.570133588)</f>
        <v>0</v>
      </c>
      <c r="AQ819" s="27" t="s">
        <v>58</v>
      </c>
      <c r="AV819" s="25">
        <f t="shared" si="820"/>
        <v>0</v>
      </c>
      <c r="AW819" s="25">
        <f t="shared" si="821"/>
        <v>0</v>
      </c>
      <c r="AX819" s="25">
        <f t="shared" si="822"/>
        <v>0</v>
      </c>
      <c r="AY819" s="27" t="s">
        <v>2414</v>
      </c>
      <c r="AZ819" s="27" t="s">
        <v>305</v>
      </c>
      <c r="BA819" s="11" t="s">
        <v>56</v>
      </c>
      <c r="BC819" s="25">
        <f t="shared" si="823"/>
        <v>0</v>
      </c>
      <c r="BD819" s="25">
        <f t="shared" si="824"/>
        <v>0</v>
      </c>
      <c r="BE819" s="25">
        <v>0</v>
      </c>
      <c r="BF819" s="25">
        <f>819</f>
        <v>819</v>
      </c>
      <c r="BH819" s="25">
        <f t="shared" si="825"/>
        <v>0</v>
      </c>
      <c r="BI819" s="25">
        <f t="shared" si="826"/>
        <v>0</v>
      </c>
      <c r="BJ819" s="25">
        <f t="shared" si="827"/>
        <v>0</v>
      </c>
      <c r="BK819" s="27" t="s">
        <v>57</v>
      </c>
      <c r="BL819" s="25"/>
      <c r="BW819" s="25">
        <v>21</v>
      </c>
      <c r="BX819" s="5" t="s">
        <v>2419</v>
      </c>
    </row>
    <row r="820" spans="1:76" x14ac:dyDescent="0.25">
      <c r="A820" s="2" t="s">
        <v>2420</v>
      </c>
      <c r="B820" s="3" t="s">
        <v>2421</v>
      </c>
      <c r="C820" s="93" t="s">
        <v>2422</v>
      </c>
      <c r="D820" s="94"/>
      <c r="E820" s="3" t="s">
        <v>131</v>
      </c>
      <c r="F820" s="25">
        <v>10</v>
      </c>
      <c r="G820" s="25">
        <v>0</v>
      </c>
      <c r="H820" s="25">
        <f t="shared" si="806"/>
        <v>0</v>
      </c>
      <c r="I820" s="25">
        <f t="shared" si="807"/>
        <v>0</v>
      </c>
      <c r="J820" s="25">
        <f t="shared" si="808"/>
        <v>0</v>
      </c>
      <c r="K820" s="26" t="s">
        <v>53</v>
      </c>
      <c r="Z820" s="25">
        <f t="shared" si="809"/>
        <v>0</v>
      </c>
      <c r="AB820" s="25">
        <f t="shared" si="810"/>
        <v>0</v>
      </c>
      <c r="AC820" s="25">
        <f t="shared" si="811"/>
        <v>0</v>
      </c>
      <c r="AD820" s="25">
        <f t="shared" si="812"/>
        <v>0</v>
      </c>
      <c r="AE820" s="25">
        <f t="shared" si="813"/>
        <v>0</v>
      </c>
      <c r="AF820" s="25">
        <f t="shared" si="814"/>
        <v>0</v>
      </c>
      <c r="AG820" s="25">
        <f t="shared" si="815"/>
        <v>0</v>
      </c>
      <c r="AH820" s="25">
        <f t="shared" si="816"/>
        <v>0</v>
      </c>
      <c r="AI820" s="11" t="s">
        <v>46</v>
      </c>
      <c r="AJ820" s="25">
        <f t="shared" si="817"/>
        <v>0</v>
      </c>
      <c r="AK820" s="25">
        <f t="shared" si="818"/>
        <v>0</v>
      </c>
      <c r="AL820" s="25">
        <f t="shared" si="819"/>
        <v>0</v>
      </c>
      <c r="AN820" s="25">
        <v>21</v>
      </c>
      <c r="AO820" s="25">
        <f>G820*0.569945355</f>
        <v>0</v>
      </c>
      <c r="AP820" s="25">
        <f>G820*(1-0.569945355)</f>
        <v>0</v>
      </c>
      <c r="AQ820" s="27" t="s">
        <v>58</v>
      </c>
      <c r="AV820" s="25">
        <f t="shared" si="820"/>
        <v>0</v>
      </c>
      <c r="AW820" s="25">
        <f t="shared" si="821"/>
        <v>0</v>
      </c>
      <c r="AX820" s="25">
        <f t="shared" si="822"/>
        <v>0</v>
      </c>
      <c r="AY820" s="27" t="s">
        <v>2414</v>
      </c>
      <c r="AZ820" s="27" t="s">
        <v>305</v>
      </c>
      <c r="BA820" s="11" t="s">
        <v>56</v>
      </c>
      <c r="BC820" s="25">
        <f t="shared" si="823"/>
        <v>0</v>
      </c>
      <c r="BD820" s="25">
        <f t="shared" si="824"/>
        <v>0</v>
      </c>
      <c r="BE820" s="25">
        <v>0</v>
      </c>
      <c r="BF820" s="25">
        <f>820</f>
        <v>820</v>
      </c>
      <c r="BH820" s="25">
        <f t="shared" si="825"/>
        <v>0</v>
      </c>
      <c r="BI820" s="25">
        <f t="shared" si="826"/>
        <v>0</v>
      </c>
      <c r="BJ820" s="25">
        <f t="shared" si="827"/>
        <v>0</v>
      </c>
      <c r="BK820" s="27" t="s">
        <v>57</v>
      </c>
      <c r="BL820" s="25"/>
      <c r="BW820" s="25">
        <v>21</v>
      </c>
      <c r="BX820" s="5" t="s">
        <v>2422</v>
      </c>
    </row>
    <row r="821" spans="1:76" x14ac:dyDescent="0.25">
      <c r="A821" s="2" t="s">
        <v>2423</v>
      </c>
      <c r="B821" s="3" t="s">
        <v>2424</v>
      </c>
      <c r="C821" s="93" t="s">
        <v>2425</v>
      </c>
      <c r="D821" s="94"/>
      <c r="E821" s="3" t="s">
        <v>52</v>
      </c>
      <c r="F821" s="25">
        <v>160</v>
      </c>
      <c r="G821" s="25">
        <v>0</v>
      </c>
      <c r="H821" s="25">
        <f t="shared" si="806"/>
        <v>0</v>
      </c>
      <c r="I821" s="25">
        <f t="shared" si="807"/>
        <v>0</v>
      </c>
      <c r="J821" s="25">
        <f t="shared" si="808"/>
        <v>0</v>
      </c>
      <c r="K821" s="26" t="s">
        <v>53</v>
      </c>
      <c r="Z821" s="25">
        <f t="shared" si="809"/>
        <v>0</v>
      </c>
      <c r="AB821" s="25">
        <f t="shared" si="810"/>
        <v>0</v>
      </c>
      <c r="AC821" s="25">
        <f t="shared" si="811"/>
        <v>0</v>
      </c>
      <c r="AD821" s="25">
        <f t="shared" si="812"/>
        <v>0</v>
      </c>
      <c r="AE821" s="25">
        <f t="shared" si="813"/>
        <v>0</v>
      </c>
      <c r="AF821" s="25">
        <f t="shared" si="814"/>
        <v>0</v>
      </c>
      <c r="AG821" s="25">
        <f t="shared" si="815"/>
        <v>0</v>
      </c>
      <c r="AH821" s="25">
        <f t="shared" si="816"/>
        <v>0</v>
      </c>
      <c r="AI821" s="11" t="s">
        <v>46</v>
      </c>
      <c r="AJ821" s="25">
        <f t="shared" si="817"/>
        <v>0</v>
      </c>
      <c r="AK821" s="25">
        <f t="shared" si="818"/>
        <v>0</v>
      </c>
      <c r="AL821" s="25">
        <f t="shared" si="819"/>
        <v>0</v>
      </c>
      <c r="AN821" s="25">
        <v>21</v>
      </c>
      <c r="AO821" s="25">
        <f>G821*0</f>
        <v>0</v>
      </c>
      <c r="AP821" s="25">
        <f>G821*(1-0)</f>
        <v>0</v>
      </c>
      <c r="AQ821" s="27" t="s">
        <v>58</v>
      </c>
      <c r="AV821" s="25">
        <f t="shared" si="820"/>
        <v>0</v>
      </c>
      <c r="AW821" s="25">
        <f t="shared" si="821"/>
        <v>0</v>
      </c>
      <c r="AX821" s="25">
        <f t="shared" si="822"/>
        <v>0</v>
      </c>
      <c r="AY821" s="27" t="s">
        <v>2414</v>
      </c>
      <c r="AZ821" s="27" t="s">
        <v>305</v>
      </c>
      <c r="BA821" s="11" t="s">
        <v>56</v>
      </c>
      <c r="BC821" s="25">
        <f t="shared" si="823"/>
        <v>0</v>
      </c>
      <c r="BD821" s="25">
        <f t="shared" si="824"/>
        <v>0</v>
      </c>
      <c r="BE821" s="25">
        <v>0</v>
      </c>
      <c r="BF821" s="25">
        <f>821</f>
        <v>821</v>
      </c>
      <c r="BH821" s="25">
        <f t="shared" si="825"/>
        <v>0</v>
      </c>
      <c r="BI821" s="25">
        <f t="shared" si="826"/>
        <v>0</v>
      </c>
      <c r="BJ821" s="25">
        <f t="shared" si="827"/>
        <v>0</v>
      </c>
      <c r="BK821" s="27" t="s">
        <v>57</v>
      </c>
      <c r="BL821" s="25"/>
      <c r="BW821" s="25">
        <v>21</v>
      </c>
      <c r="BX821" s="5" t="s">
        <v>2425</v>
      </c>
    </row>
    <row r="822" spans="1:76" x14ac:dyDescent="0.25">
      <c r="A822" s="2" t="s">
        <v>2426</v>
      </c>
      <c r="B822" s="3" t="s">
        <v>2427</v>
      </c>
      <c r="C822" s="93" t="s">
        <v>2428</v>
      </c>
      <c r="D822" s="94"/>
      <c r="E822" s="3" t="s">
        <v>131</v>
      </c>
      <c r="F822" s="25">
        <v>450</v>
      </c>
      <c r="G822" s="25">
        <v>0</v>
      </c>
      <c r="H822" s="25">
        <f t="shared" si="806"/>
        <v>0</v>
      </c>
      <c r="I822" s="25">
        <f t="shared" si="807"/>
        <v>0</v>
      </c>
      <c r="J822" s="25">
        <f t="shared" si="808"/>
        <v>0</v>
      </c>
      <c r="K822" s="26" t="s">
        <v>53</v>
      </c>
      <c r="Z822" s="25">
        <f t="shared" si="809"/>
        <v>0</v>
      </c>
      <c r="AB822" s="25">
        <f t="shared" si="810"/>
        <v>0</v>
      </c>
      <c r="AC822" s="25">
        <f t="shared" si="811"/>
        <v>0</v>
      </c>
      <c r="AD822" s="25">
        <f t="shared" si="812"/>
        <v>0</v>
      </c>
      <c r="AE822" s="25">
        <f t="shared" si="813"/>
        <v>0</v>
      </c>
      <c r="AF822" s="25">
        <f t="shared" si="814"/>
        <v>0</v>
      </c>
      <c r="AG822" s="25">
        <f t="shared" si="815"/>
        <v>0</v>
      </c>
      <c r="AH822" s="25">
        <f t="shared" si="816"/>
        <v>0</v>
      </c>
      <c r="AI822" s="11" t="s">
        <v>46</v>
      </c>
      <c r="AJ822" s="25">
        <f t="shared" si="817"/>
        <v>0</v>
      </c>
      <c r="AK822" s="25">
        <f t="shared" si="818"/>
        <v>0</v>
      </c>
      <c r="AL822" s="25">
        <f t="shared" si="819"/>
        <v>0</v>
      </c>
      <c r="AN822" s="25">
        <v>21</v>
      </c>
      <c r="AO822" s="25">
        <f>G822*0</f>
        <v>0</v>
      </c>
      <c r="AP822" s="25">
        <f>G822*(1-0)</f>
        <v>0</v>
      </c>
      <c r="AQ822" s="27" t="s">
        <v>58</v>
      </c>
      <c r="AV822" s="25">
        <f t="shared" si="820"/>
        <v>0</v>
      </c>
      <c r="AW822" s="25">
        <f t="shared" si="821"/>
        <v>0</v>
      </c>
      <c r="AX822" s="25">
        <f t="shared" si="822"/>
        <v>0</v>
      </c>
      <c r="AY822" s="27" t="s">
        <v>2414</v>
      </c>
      <c r="AZ822" s="27" t="s">
        <v>305</v>
      </c>
      <c r="BA822" s="11" t="s">
        <v>56</v>
      </c>
      <c r="BC822" s="25">
        <f t="shared" si="823"/>
        <v>0</v>
      </c>
      <c r="BD822" s="25">
        <f t="shared" si="824"/>
        <v>0</v>
      </c>
      <c r="BE822" s="25">
        <v>0</v>
      </c>
      <c r="BF822" s="25">
        <f>822</f>
        <v>822</v>
      </c>
      <c r="BH822" s="25">
        <f t="shared" si="825"/>
        <v>0</v>
      </c>
      <c r="BI822" s="25">
        <f t="shared" si="826"/>
        <v>0</v>
      </c>
      <c r="BJ822" s="25">
        <f t="shared" si="827"/>
        <v>0</v>
      </c>
      <c r="BK822" s="27" t="s">
        <v>57</v>
      </c>
      <c r="BL822" s="25"/>
      <c r="BW822" s="25">
        <v>21</v>
      </c>
      <c r="BX822" s="5" t="s">
        <v>2428</v>
      </c>
    </row>
    <row r="823" spans="1:76" x14ac:dyDescent="0.25">
      <c r="A823" s="2" t="s">
        <v>2429</v>
      </c>
      <c r="B823" s="3" t="s">
        <v>2430</v>
      </c>
      <c r="C823" s="93" t="s">
        <v>2431</v>
      </c>
      <c r="D823" s="94"/>
      <c r="E823" s="3" t="s">
        <v>131</v>
      </c>
      <c r="F823" s="25">
        <v>300</v>
      </c>
      <c r="G823" s="25">
        <v>0</v>
      </c>
      <c r="H823" s="25">
        <f t="shared" si="806"/>
        <v>0</v>
      </c>
      <c r="I823" s="25">
        <f t="shared" si="807"/>
        <v>0</v>
      </c>
      <c r="J823" s="25">
        <f t="shared" si="808"/>
        <v>0</v>
      </c>
      <c r="K823" s="26" t="s">
        <v>53</v>
      </c>
      <c r="Z823" s="25">
        <f t="shared" si="809"/>
        <v>0</v>
      </c>
      <c r="AB823" s="25">
        <f t="shared" si="810"/>
        <v>0</v>
      </c>
      <c r="AC823" s="25">
        <f t="shared" si="811"/>
        <v>0</v>
      </c>
      <c r="AD823" s="25">
        <f t="shared" si="812"/>
        <v>0</v>
      </c>
      <c r="AE823" s="25">
        <f t="shared" si="813"/>
        <v>0</v>
      </c>
      <c r="AF823" s="25">
        <f t="shared" si="814"/>
        <v>0</v>
      </c>
      <c r="AG823" s="25">
        <f t="shared" si="815"/>
        <v>0</v>
      </c>
      <c r="AH823" s="25">
        <f t="shared" si="816"/>
        <v>0</v>
      </c>
      <c r="AI823" s="11" t="s">
        <v>46</v>
      </c>
      <c r="AJ823" s="25">
        <f t="shared" si="817"/>
        <v>0</v>
      </c>
      <c r="AK823" s="25">
        <f t="shared" si="818"/>
        <v>0</v>
      </c>
      <c r="AL823" s="25">
        <f t="shared" si="819"/>
        <v>0</v>
      </c>
      <c r="AN823" s="25">
        <v>21</v>
      </c>
      <c r="AO823" s="25">
        <f>G823*0</f>
        <v>0</v>
      </c>
      <c r="AP823" s="25">
        <f>G823*(1-0)</f>
        <v>0</v>
      </c>
      <c r="AQ823" s="27" t="s">
        <v>58</v>
      </c>
      <c r="AV823" s="25">
        <f t="shared" si="820"/>
        <v>0</v>
      </c>
      <c r="AW823" s="25">
        <f t="shared" si="821"/>
        <v>0</v>
      </c>
      <c r="AX823" s="25">
        <f t="shared" si="822"/>
        <v>0</v>
      </c>
      <c r="AY823" s="27" t="s">
        <v>2414</v>
      </c>
      <c r="AZ823" s="27" t="s">
        <v>305</v>
      </c>
      <c r="BA823" s="11" t="s">
        <v>56</v>
      </c>
      <c r="BC823" s="25">
        <f t="shared" si="823"/>
        <v>0</v>
      </c>
      <c r="BD823" s="25">
        <f t="shared" si="824"/>
        <v>0</v>
      </c>
      <c r="BE823" s="25">
        <v>0</v>
      </c>
      <c r="BF823" s="25">
        <f>823</f>
        <v>823</v>
      </c>
      <c r="BH823" s="25">
        <f t="shared" si="825"/>
        <v>0</v>
      </c>
      <c r="BI823" s="25">
        <f t="shared" si="826"/>
        <v>0</v>
      </c>
      <c r="BJ823" s="25">
        <f t="shared" si="827"/>
        <v>0</v>
      </c>
      <c r="BK823" s="27" t="s">
        <v>57</v>
      </c>
      <c r="BL823" s="25"/>
      <c r="BW823" s="25">
        <v>21</v>
      </c>
      <c r="BX823" s="5" t="s">
        <v>2431</v>
      </c>
    </row>
    <row r="824" spans="1:76" x14ac:dyDescent="0.25">
      <c r="A824" s="2" t="s">
        <v>1680</v>
      </c>
      <c r="B824" s="3" t="s">
        <v>2432</v>
      </c>
      <c r="C824" s="93" t="s">
        <v>2433</v>
      </c>
      <c r="D824" s="94"/>
      <c r="E824" s="3" t="s">
        <v>52</v>
      </c>
      <c r="F824" s="25">
        <v>10</v>
      </c>
      <c r="G824" s="25">
        <v>0</v>
      </c>
      <c r="H824" s="25">
        <f t="shared" si="806"/>
        <v>0</v>
      </c>
      <c r="I824" s="25">
        <f t="shared" si="807"/>
        <v>0</v>
      </c>
      <c r="J824" s="25">
        <f t="shared" si="808"/>
        <v>0</v>
      </c>
      <c r="K824" s="26" t="s">
        <v>53</v>
      </c>
      <c r="Z824" s="25">
        <f t="shared" si="809"/>
        <v>0</v>
      </c>
      <c r="AB824" s="25">
        <f t="shared" si="810"/>
        <v>0</v>
      </c>
      <c r="AC824" s="25">
        <f t="shared" si="811"/>
        <v>0</v>
      </c>
      <c r="AD824" s="25">
        <f t="shared" si="812"/>
        <v>0</v>
      </c>
      <c r="AE824" s="25">
        <f t="shared" si="813"/>
        <v>0</v>
      </c>
      <c r="AF824" s="25">
        <f t="shared" si="814"/>
        <v>0</v>
      </c>
      <c r="AG824" s="25">
        <f t="shared" si="815"/>
        <v>0</v>
      </c>
      <c r="AH824" s="25">
        <f t="shared" si="816"/>
        <v>0</v>
      </c>
      <c r="AI824" s="11" t="s">
        <v>46</v>
      </c>
      <c r="AJ824" s="25">
        <f t="shared" si="817"/>
        <v>0</v>
      </c>
      <c r="AK824" s="25">
        <f t="shared" si="818"/>
        <v>0</v>
      </c>
      <c r="AL824" s="25">
        <f t="shared" si="819"/>
        <v>0</v>
      </c>
      <c r="AN824" s="25">
        <v>21</v>
      </c>
      <c r="AO824" s="25">
        <f>G824*0</f>
        <v>0</v>
      </c>
      <c r="AP824" s="25">
        <f>G824*(1-0)</f>
        <v>0</v>
      </c>
      <c r="AQ824" s="27" t="s">
        <v>58</v>
      </c>
      <c r="AV824" s="25">
        <f t="shared" si="820"/>
        <v>0</v>
      </c>
      <c r="AW824" s="25">
        <f t="shared" si="821"/>
        <v>0</v>
      </c>
      <c r="AX824" s="25">
        <f t="shared" si="822"/>
        <v>0</v>
      </c>
      <c r="AY824" s="27" t="s">
        <v>2414</v>
      </c>
      <c r="AZ824" s="27" t="s">
        <v>305</v>
      </c>
      <c r="BA824" s="11" t="s">
        <v>56</v>
      </c>
      <c r="BC824" s="25">
        <f t="shared" si="823"/>
        <v>0</v>
      </c>
      <c r="BD824" s="25">
        <f t="shared" si="824"/>
        <v>0</v>
      </c>
      <c r="BE824" s="25">
        <v>0</v>
      </c>
      <c r="BF824" s="25">
        <f>824</f>
        <v>824</v>
      </c>
      <c r="BH824" s="25">
        <f t="shared" si="825"/>
        <v>0</v>
      </c>
      <c r="BI824" s="25">
        <f t="shared" si="826"/>
        <v>0</v>
      </c>
      <c r="BJ824" s="25">
        <f t="shared" si="827"/>
        <v>0</v>
      </c>
      <c r="BK824" s="27" t="s">
        <v>57</v>
      </c>
      <c r="BL824" s="25"/>
      <c r="BW824" s="25">
        <v>21</v>
      </c>
      <c r="BX824" s="5" t="s">
        <v>2433</v>
      </c>
    </row>
    <row r="825" spans="1:76" x14ac:dyDescent="0.25">
      <c r="A825" s="2" t="s">
        <v>2434</v>
      </c>
      <c r="B825" s="3" t="s">
        <v>2435</v>
      </c>
      <c r="C825" s="93" t="s">
        <v>2436</v>
      </c>
      <c r="D825" s="94"/>
      <c r="E825" s="3" t="s">
        <v>52</v>
      </c>
      <c r="F825" s="25">
        <v>60</v>
      </c>
      <c r="G825" s="25">
        <v>0</v>
      </c>
      <c r="H825" s="25">
        <f t="shared" si="806"/>
        <v>0</v>
      </c>
      <c r="I825" s="25">
        <f t="shared" si="807"/>
        <v>0</v>
      </c>
      <c r="J825" s="25">
        <f t="shared" si="808"/>
        <v>0</v>
      </c>
      <c r="K825" s="26" t="s">
        <v>53</v>
      </c>
      <c r="Z825" s="25">
        <f t="shared" si="809"/>
        <v>0</v>
      </c>
      <c r="AB825" s="25">
        <f t="shared" si="810"/>
        <v>0</v>
      </c>
      <c r="AC825" s="25">
        <f t="shared" si="811"/>
        <v>0</v>
      </c>
      <c r="AD825" s="25">
        <f t="shared" si="812"/>
        <v>0</v>
      </c>
      <c r="AE825" s="25">
        <f t="shared" si="813"/>
        <v>0</v>
      </c>
      <c r="AF825" s="25">
        <f t="shared" si="814"/>
        <v>0</v>
      </c>
      <c r="AG825" s="25">
        <f t="shared" si="815"/>
        <v>0</v>
      </c>
      <c r="AH825" s="25">
        <f t="shared" si="816"/>
        <v>0</v>
      </c>
      <c r="AI825" s="11" t="s">
        <v>46</v>
      </c>
      <c r="AJ825" s="25">
        <f t="shared" si="817"/>
        <v>0</v>
      </c>
      <c r="AK825" s="25">
        <f t="shared" si="818"/>
        <v>0</v>
      </c>
      <c r="AL825" s="25">
        <f t="shared" si="819"/>
        <v>0</v>
      </c>
      <c r="AN825" s="25">
        <v>21</v>
      </c>
      <c r="AO825" s="25">
        <f>G825*0</f>
        <v>0</v>
      </c>
      <c r="AP825" s="25">
        <f>G825*(1-0)</f>
        <v>0</v>
      </c>
      <c r="AQ825" s="27" t="s">
        <v>58</v>
      </c>
      <c r="AV825" s="25">
        <f t="shared" si="820"/>
        <v>0</v>
      </c>
      <c r="AW825" s="25">
        <f t="shared" si="821"/>
        <v>0</v>
      </c>
      <c r="AX825" s="25">
        <f t="shared" si="822"/>
        <v>0</v>
      </c>
      <c r="AY825" s="27" t="s">
        <v>2414</v>
      </c>
      <c r="AZ825" s="27" t="s">
        <v>305</v>
      </c>
      <c r="BA825" s="11" t="s">
        <v>56</v>
      </c>
      <c r="BC825" s="25">
        <f t="shared" si="823"/>
        <v>0</v>
      </c>
      <c r="BD825" s="25">
        <f t="shared" si="824"/>
        <v>0</v>
      </c>
      <c r="BE825" s="25">
        <v>0</v>
      </c>
      <c r="BF825" s="25">
        <f>825</f>
        <v>825</v>
      </c>
      <c r="BH825" s="25">
        <f t="shared" si="825"/>
        <v>0</v>
      </c>
      <c r="BI825" s="25">
        <f t="shared" si="826"/>
        <v>0</v>
      </c>
      <c r="BJ825" s="25">
        <f t="shared" si="827"/>
        <v>0</v>
      </c>
      <c r="BK825" s="27" t="s">
        <v>57</v>
      </c>
      <c r="BL825" s="25"/>
      <c r="BW825" s="25">
        <v>21</v>
      </c>
      <c r="BX825" s="5" t="s">
        <v>2436</v>
      </c>
    </row>
    <row r="826" spans="1:76" x14ac:dyDescent="0.25">
      <c r="A826" s="2" t="s">
        <v>2437</v>
      </c>
      <c r="B826" s="3" t="s">
        <v>2438</v>
      </c>
      <c r="C826" s="93" t="s">
        <v>2439</v>
      </c>
      <c r="D826" s="94"/>
      <c r="E826" s="3" t="s">
        <v>131</v>
      </c>
      <c r="F826" s="25">
        <v>15</v>
      </c>
      <c r="G826" s="25">
        <v>0</v>
      </c>
      <c r="H826" s="25">
        <f t="shared" si="806"/>
        <v>0</v>
      </c>
      <c r="I826" s="25">
        <f t="shared" si="807"/>
        <v>0</v>
      </c>
      <c r="J826" s="25">
        <f t="shared" si="808"/>
        <v>0</v>
      </c>
      <c r="K826" s="26" t="s">
        <v>53</v>
      </c>
      <c r="Z826" s="25">
        <f t="shared" si="809"/>
        <v>0</v>
      </c>
      <c r="AB826" s="25">
        <f t="shared" si="810"/>
        <v>0</v>
      </c>
      <c r="AC826" s="25">
        <f t="shared" si="811"/>
        <v>0</v>
      </c>
      <c r="AD826" s="25">
        <f t="shared" si="812"/>
        <v>0</v>
      </c>
      <c r="AE826" s="25">
        <f t="shared" si="813"/>
        <v>0</v>
      </c>
      <c r="AF826" s="25">
        <f t="shared" si="814"/>
        <v>0</v>
      </c>
      <c r="AG826" s="25">
        <f t="shared" si="815"/>
        <v>0</v>
      </c>
      <c r="AH826" s="25">
        <f t="shared" si="816"/>
        <v>0</v>
      </c>
      <c r="AI826" s="11" t="s">
        <v>46</v>
      </c>
      <c r="AJ826" s="25">
        <f t="shared" si="817"/>
        <v>0</v>
      </c>
      <c r="AK826" s="25">
        <f t="shared" si="818"/>
        <v>0</v>
      </c>
      <c r="AL826" s="25">
        <f t="shared" si="819"/>
        <v>0</v>
      </c>
      <c r="AN826" s="25">
        <v>21</v>
      </c>
      <c r="AO826" s="25">
        <f>G826*0.57</f>
        <v>0</v>
      </c>
      <c r="AP826" s="25">
        <f>G826*(1-0.57)</f>
        <v>0</v>
      </c>
      <c r="AQ826" s="27" t="s">
        <v>58</v>
      </c>
      <c r="AV826" s="25">
        <f t="shared" si="820"/>
        <v>0</v>
      </c>
      <c r="AW826" s="25">
        <f t="shared" si="821"/>
        <v>0</v>
      </c>
      <c r="AX826" s="25">
        <f t="shared" si="822"/>
        <v>0</v>
      </c>
      <c r="AY826" s="27" t="s">
        <v>2414</v>
      </c>
      <c r="AZ826" s="27" t="s">
        <v>305</v>
      </c>
      <c r="BA826" s="11" t="s">
        <v>56</v>
      </c>
      <c r="BC826" s="25">
        <f t="shared" si="823"/>
        <v>0</v>
      </c>
      <c r="BD826" s="25">
        <f t="shared" si="824"/>
        <v>0</v>
      </c>
      <c r="BE826" s="25">
        <v>0</v>
      </c>
      <c r="BF826" s="25">
        <f>826</f>
        <v>826</v>
      </c>
      <c r="BH826" s="25">
        <f t="shared" si="825"/>
        <v>0</v>
      </c>
      <c r="BI826" s="25">
        <f t="shared" si="826"/>
        <v>0</v>
      </c>
      <c r="BJ826" s="25">
        <f t="shared" si="827"/>
        <v>0</v>
      </c>
      <c r="BK826" s="27" t="s">
        <v>57</v>
      </c>
      <c r="BL826" s="25"/>
      <c r="BW826" s="25">
        <v>21</v>
      </c>
      <c r="BX826" s="5" t="s">
        <v>2439</v>
      </c>
    </row>
    <row r="827" spans="1:76" ht="25.5" x14ac:dyDescent="0.25">
      <c r="A827" s="2" t="s">
        <v>2440</v>
      </c>
      <c r="B827" s="3" t="s">
        <v>2441</v>
      </c>
      <c r="C827" s="93" t="s">
        <v>2442</v>
      </c>
      <c r="D827" s="94"/>
      <c r="E827" s="3" t="s">
        <v>131</v>
      </c>
      <c r="F827" s="25">
        <v>30</v>
      </c>
      <c r="G827" s="25">
        <v>0</v>
      </c>
      <c r="H827" s="25">
        <f t="shared" si="806"/>
        <v>0</v>
      </c>
      <c r="I827" s="25">
        <f t="shared" si="807"/>
        <v>0</v>
      </c>
      <c r="J827" s="25">
        <f t="shared" si="808"/>
        <v>0</v>
      </c>
      <c r="K827" s="26" t="s">
        <v>53</v>
      </c>
      <c r="Z827" s="25">
        <f t="shared" si="809"/>
        <v>0</v>
      </c>
      <c r="AB827" s="25">
        <f t="shared" si="810"/>
        <v>0</v>
      </c>
      <c r="AC827" s="25">
        <f t="shared" si="811"/>
        <v>0</v>
      </c>
      <c r="AD827" s="25">
        <f t="shared" si="812"/>
        <v>0</v>
      </c>
      <c r="AE827" s="25">
        <f t="shared" si="813"/>
        <v>0</v>
      </c>
      <c r="AF827" s="25">
        <f t="shared" si="814"/>
        <v>0</v>
      </c>
      <c r="AG827" s="25">
        <f t="shared" si="815"/>
        <v>0</v>
      </c>
      <c r="AH827" s="25">
        <f t="shared" si="816"/>
        <v>0</v>
      </c>
      <c r="AI827" s="11" t="s">
        <v>46</v>
      </c>
      <c r="AJ827" s="25">
        <f t="shared" si="817"/>
        <v>0</v>
      </c>
      <c r="AK827" s="25">
        <f t="shared" si="818"/>
        <v>0</v>
      </c>
      <c r="AL827" s="25">
        <f t="shared" si="819"/>
        <v>0</v>
      </c>
      <c r="AN827" s="25">
        <v>21</v>
      </c>
      <c r="AO827" s="25">
        <f>G827*0.57</f>
        <v>0</v>
      </c>
      <c r="AP827" s="25">
        <f>G827*(1-0.57)</f>
        <v>0</v>
      </c>
      <c r="AQ827" s="27" t="s">
        <v>58</v>
      </c>
      <c r="AV827" s="25">
        <f t="shared" si="820"/>
        <v>0</v>
      </c>
      <c r="AW827" s="25">
        <f t="shared" si="821"/>
        <v>0</v>
      </c>
      <c r="AX827" s="25">
        <f t="shared" si="822"/>
        <v>0</v>
      </c>
      <c r="AY827" s="27" t="s">
        <v>2414</v>
      </c>
      <c r="AZ827" s="27" t="s">
        <v>305</v>
      </c>
      <c r="BA827" s="11" t="s">
        <v>56</v>
      </c>
      <c r="BC827" s="25">
        <f t="shared" si="823"/>
        <v>0</v>
      </c>
      <c r="BD827" s="25">
        <f t="shared" si="824"/>
        <v>0</v>
      </c>
      <c r="BE827" s="25">
        <v>0</v>
      </c>
      <c r="BF827" s="25">
        <f>827</f>
        <v>827</v>
      </c>
      <c r="BH827" s="25">
        <f t="shared" si="825"/>
        <v>0</v>
      </c>
      <c r="BI827" s="25">
        <f t="shared" si="826"/>
        <v>0</v>
      </c>
      <c r="BJ827" s="25">
        <f t="shared" si="827"/>
        <v>0</v>
      </c>
      <c r="BK827" s="27" t="s">
        <v>57</v>
      </c>
      <c r="BL827" s="25"/>
      <c r="BW827" s="25">
        <v>21</v>
      </c>
      <c r="BX827" s="5" t="s">
        <v>2442</v>
      </c>
    </row>
    <row r="828" spans="1:76" ht="25.5" x14ac:dyDescent="0.25">
      <c r="A828" s="2" t="s">
        <v>2443</v>
      </c>
      <c r="B828" s="3" t="s">
        <v>2444</v>
      </c>
      <c r="C828" s="93" t="s">
        <v>2445</v>
      </c>
      <c r="D828" s="94"/>
      <c r="E828" s="3" t="s">
        <v>131</v>
      </c>
      <c r="F828" s="25">
        <v>150</v>
      </c>
      <c r="G828" s="25">
        <v>0</v>
      </c>
      <c r="H828" s="25">
        <f t="shared" si="806"/>
        <v>0</v>
      </c>
      <c r="I828" s="25">
        <f t="shared" si="807"/>
        <v>0</v>
      </c>
      <c r="J828" s="25">
        <f t="shared" si="808"/>
        <v>0</v>
      </c>
      <c r="K828" s="26" t="s">
        <v>53</v>
      </c>
      <c r="Z828" s="25">
        <f t="shared" si="809"/>
        <v>0</v>
      </c>
      <c r="AB828" s="25">
        <f t="shared" si="810"/>
        <v>0</v>
      </c>
      <c r="AC828" s="25">
        <f t="shared" si="811"/>
        <v>0</v>
      </c>
      <c r="AD828" s="25">
        <f t="shared" si="812"/>
        <v>0</v>
      </c>
      <c r="AE828" s="25">
        <f t="shared" si="813"/>
        <v>0</v>
      </c>
      <c r="AF828" s="25">
        <f t="shared" si="814"/>
        <v>0</v>
      </c>
      <c r="AG828" s="25">
        <f t="shared" si="815"/>
        <v>0</v>
      </c>
      <c r="AH828" s="25">
        <f t="shared" si="816"/>
        <v>0</v>
      </c>
      <c r="AI828" s="11" t="s">
        <v>46</v>
      </c>
      <c r="AJ828" s="25">
        <f t="shared" si="817"/>
        <v>0</v>
      </c>
      <c r="AK828" s="25">
        <f t="shared" si="818"/>
        <v>0</v>
      </c>
      <c r="AL828" s="25">
        <f t="shared" si="819"/>
        <v>0</v>
      </c>
      <c r="AN828" s="25">
        <v>21</v>
      </c>
      <c r="AO828" s="25">
        <f>G828*0.57</f>
        <v>0</v>
      </c>
      <c r="AP828" s="25">
        <f>G828*(1-0.57)</f>
        <v>0</v>
      </c>
      <c r="AQ828" s="27" t="s">
        <v>58</v>
      </c>
      <c r="AV828" s="25">
        <f t="shared" si="820"/>
        <v>0</v>
      </c>
      <c r="AW828" s="25">
        <f t="shared" si="821"/>
        <v>0</v>
      </c>
      <c r="AX828" s="25">
        <f t="shared" si="822"/>
        <v>0</v>
      </c>
      <c r="AY828" s="27" t="s">
        <v>2414</v>
      </c>
      <c r="AZ828" s="27" t="s">
        <v>305</v>
      </c>
      <c r="BA828" s="11" t="s">
        <v>56</v>
      </c>
      <c r="BC828" s="25">
        <f t="shared" si="823"/>
        <v>0</v>
      </c>
      <c r="BD828" s="25">
        <f t="shared" si="824"/>
        <v>0</v>
      </c>
      <c r="BE828" s="25">
        <v>0</v>
      </c>
      <c r="BF828" s="25">
        <f>828</f>
        <v>828</v>
      </c>
      <c r="BH828" s="25">
        <f t="shared" si="825"/>
        <v>0</v>
      </c>
      <c r="BI828" s="25">
        <f t="shared" si="826"/>
        <v>0</v>
      </c>
      <c r="BJ828" s="25">
        <f t="shared" si="827"/>
        <v>0</v>
      </c>
      <c r="BK828" s="27" t="s">
        <v>57</v>
      </c>
      <c r="BL828" s="25"/>
      <c r="BW828" s="25">
        <v>21</v>
      </c>
      <c r="BX828" s="5" t="s">
        <v>2445</v>
      </c>
    </row>
    <row r="829" spans="1:76" x14ac:dyDescent="0.25">
      <c r="A829" s="28" t="s">
        <v>46</v>
      </c>
      <c r="B829" s="29" t="s">
        <v>2446</v>
      </c>
      <c r="C829" s="150" t="s">
        <v>2447</v>
      </c>
      <c r="D829" s="151"/>
      <c r="E829" s="30" t="s">
        <v>4</v>
      </c>
      <c r="F829" s="30" t="s">
        <v>4</v>
      </c>
      <c r="G829" s="30" t="s">
        <v>4</v>
      </c>
      <c r="H829" s="1">
        <f>ROUND(SUM(H830:H861),1)</f>
        <v>0</v>
      </c>
      <c r="I829" s="1">
        <f>ROUND(SUM(I830:I861),1)</f>
        <v>0</v>
      </c>
      <c r="J829" s="1">
        <f>ROUND(SUM(J830:J861),1)</f>
        <v>0</v>
      </c>
      <c r="K829" s="31" t="s">
        <v>46</v>
      </c>
      <c r="AI829" s="11" t="s">
        <v>46</v>
      </c>
      <c r="AS829" s="1">
        <f>SUM(AJ830:AJ861)</f>
        <v>0</v>
      </c>
      <c r="AT829" s="1">
        <f>SUM(AK830:AK861)</f>
        <v>0</v>
      </c>
      <c r="AU829" s="1">
        <f>SUM(AL830:AL861)</f>
        <v>0</v>
      </c>
    </row>
    <row r="830" spans="1:76" x14ac:dyDescent="0.25">
      <c r="A830" s="2" t="s">
        <v>1716</v>
      </c>
      <c r="B830" s="3" t="s">
        <v>2448</v>
      </c>
      <c r="C830" s="93" t="s">
        <v>2449</v>
      </c>
      <c r="D830" s="94"/>
      <c r="E830" s="3" t="s">
        <v>52</v>
      </c>
      <c r="F830" s="25">
        <v>2</v>
      </c>
      <c r="G830" s="25">
        <v>0</v>
      </c>
      <c r="H830" s="25">
        <f t="shared" ref="H830:H861" si="828">ROUND(F830*AO830,2)</f>
        <v>0</v>
      </c>
      <c r="I830" s="25">
        <f t="shared" ref="I830:I861" si="829">ROUND(F830*AP830,2)</f>
        <v>0</v>
      </c>
      <c r="J830" s="25">
        <f t="shared" ref="J830:J861" si="830">ROUND(F830*G830,1)</f>
        <v>0</v>
      </c>
      <c r="K830" s="26" t="s">
        <v>53</v>
      </c>
      <c r="Z830" s="25">
        <f t="shared" ref="Z830:Z861" si="831">ROUND(IF(AQ830="5",BJ830,0),2)</f>
        <v>0</v>
      </c>
      <c r="AB830" s="25">
        <f t="shared" ref="AB830:AB861" si="832">ROUND(IF(AQ830="1",BH830,0),2)</f>
        <v>0</v>
      </c>
      <c r="AC830" s="25">
        <f t="shared" ref="AC830:AC861" si="833">ROUND(IF(AQ830="1",BI830,0),2)</f>
        <v>0</v>
      </c>
      <c r="AD830" s="25">
        <f t="shared" ref="AD830:AD861" si="834">ROUND(IF(AQ830="7",BH830,0),2)</f>
        <v>0</v>
      </c>
      <c r="AE830" s="25">
        <f t="shared" ref="AE830:AE861" si="835">ROUND(IF(AQ830="7",BI830,0),2)</f>
        <v>0</v>
      </c>
      <c r="AF830" s="25">
        <f t="shared" ref="AF830:AF861" si="836">ROUND(IF(AQ830="2",BH830,0),2)</f>
        <v>0</v>
      </c>
      <c r="AG830" s="25">
        <f t="shared" ref="AG830:AG861" si="837">ROUND(IF(AQ830="2",BI830,0),2)</f>
        <v>0</v>
      </c>
      <c r="AH830" s="25">
        <f t="shared" ref="AH830:AH861" si="838">ROUND(IF(AQ830="0",BJ830,0),2)</f>
        <v>0</v>
      </c>
      <c r="AI830" s="11" t="s">
        <v>46</v>
      </c>
      <c r="AJ830" s="25">
        <f t="shared" ref="AJ830:AJ861" si="839">IF(AN830=0,J830,0)</f>
        <v>0</v>
      </c>
      <c r="AK830" s="25">
        <f t="shared" ref="AK830:AK861" si="840">IF(AN830=12,J830,0)</f>
        <v>0</v>
      </c>
      <c r="AL830" s="25">
        <f t="shared" ref="AL830:AL861" si="841">IF(AN830=21,J830,0)</f>
        <v>0</v>
      </c>
      <c r="AN830" s="25">
        <v>21</v>
      </c>
      <c r="AO830" s="25">
        <f>G830*0.57</f>
        <v>0</v>
      </c>
      <c r="AP830" s="25">
        <f>G830*(1-0.57)</f>
        <v>0</v>
      </c>
      <c r="AQ830" s="27" t="s">
        <v>58</v>
      </c>
      <c r="AV830" s="25">
        <f t="shared" ref="AV830:AV861" si="842">ROUND(AW830+AX830,2)</f>
        <v>0</v>
      </c>
      <c r="AW830" s="25">
        <f t="shared" ref="AW830:AW861" si="843">ROUND(F830*AO830,2)</f>
        <v>0</v>
      </c>
      <c r="AX830" s="25">
        <f t="shared" ref="AX830:AX861" si="844">ROUND(F830*AP830,2)</f>
        <v>0</v>
      </c>
      <c r="AY830" s="27" t="s">
        <v>2450</v>
      </c>
      <c r="AZ830" s="27" t="s">
        <v>305</v>
      </c>
      <c r="BA830" s="11" t="s">
        <v>56</v>
      </c>
      <c r="BC830" s="25">
        <f t="shared" ref="BC830:BC861" si="845">AW830+AX830</f>
        <v>0</v>
      </c>
      <c r="BD830" s="25">
        <f t="shared" ref="BD830:BD861" si="846">G830/(100-BE830)*100</f>
        <v>0</v>
      </c>
      <c r="BE830" s="25">
        <v>0</v>
      </c>
      <c r="BF830" s="25">
        <f>830</f>
        <v>830</v>
      </c>
      <c r="BH830" s="25">
        <f t="shared" ref="BH830:BH861" si="847">F830*AO830</f>
        <v>0</v>
      </c>
      <c r="BI830" s="25">
        <f t="shared" ref="BI830:BI861" si="848">F830*AP830</f>
        <v>0</v>
      </c>
      <c r="BJ830" s="25">
        <f t="shared" ref="BJ830:BJ861" si="849">F830*G830</f>
        <v>0</v>
      </c>
      <c r="BK830" s="27" t="s">
        <v>57</v>
      </c>
      <c r="BL830" s="25"/>
      <c r="BW830" s="25">
        <v>21</v>
      </c>
      <c r="BX830" s="5" t="s">
        <v>2449</v>
      </c>
    </row>
    <row r="831" spans="1:76" x14ac:dyDescent="0.25">
      <c r="A831" s="2" t="s">
        <v>2451</v>
      </c>
      <c r="B831" s="3" t="s">
        <v>2452</v>
      </c>
      <c r="C831" s="93" t="s">
        <v>2453</v>
      </c>
      <c r="D831" s="94"/>
      <c r="E831" s="3" t="s">
        <v>52</v>
      </c>
      <c r="F831" s="25">
        <v>7</v>
      </c>
      <c r="G831" s="25">
        <v>0</v>
      </c>
      <c r="H831" s="25">
        <f t="shared" si="828"/>
        <v>0</v>
      </c>
      <c r="I831" s="25">
        <f t="shared" si="829"/>
        <v>0</v>
      </c>
      <c r="J831" s="25">
        <f t="shared" si="830"/>
        <v>0</v>
      </c>
      <c r="K831" s="26" t="s">
        <v>53</v>
      </c>
      <c r="Z831" s="25">
        <f t="shared" si="831"/>
        <v>0</v>
      </c>
      <c r="AB831" s="25">
        <f t="shared" si="832"/>
        <v>0</v>
      </c>
      <c r="AC831" s="25">
        <f t="shared" si="833"/>
        <v>0</v>
      </c>
      <c r="AD831" s="25">
        <f t="shared" si="834"/>
        <v>0</v>
      </c>
      <c r="AE831" s="25">
        <f t="shared" si="835"/>
        <v>0</v>
      </c>
      <c r="AF831" s="25">
        <f t="shared" si="836"/>
        <v>0</v>
      </c>
      <c r="AG831" s="25">
        <f t="shared" si="837"/>
        <v>0</v>
      </c>
      <c r="AH831" s="25">
        <f t="shared" si="838"/>
        <v>0</v>
      </c>
      <c r="AI831" s="11" t="s">
        <v>46</v>
      </c>
      <c r="AJ831" s="25">
        <f t="shared" si="839"/>
        <v>0</v>
      </c>
      <c r="AK831" s="25">
        <f t="shared" si="840"/>
        <v>0</v>
      </c>
      <c r="AL831" s="25">
        <f t="shared" si="841"/>
        <v>0</v>
      </c>
      <c r="AN831" s="25">
        <v>21</v>
      </c>
      <c r="AO831" s="25">
        <f>G831*0.569999688</f>
        <v>0</v>
      </c>
      <c r="AP831" s="25">
        <f>G831*(1-0.569999688)</f>
        <v>0</v>
      </c>
      <c r="AQ831" s="27" t="s">
        <v>58</v>
      </c>
      <c r="AV831" s="25">
        <f t="shared" si="842"/>
        <v>0</v>
      </c>
      <c r="AW831" s="25">
        <f t="shared" si="843"/>
        <v>0</v>
      </c>
      <c r="AX831" s="25">
        <f t="shared" si="844"/>
        <v>0</v>
      </c>
      <c r="AY831" s="27" t="s">
        <v>2450</v>
      </c>
      <c r="AZ831" s="27" t="s">
        <v>305</v>
      </c>
      <c r="BA831" s="11" t="s">
        <v>56</v>
      </c>
      <c r="BC831" s="25">
        <f t="shared" si="845"/>
        <v>0</v>
      </c>
      <c r="BD831" s="25">
        <f t="shared" si="846"/>
        <v>0</v>
      </c>
      <c r="BE831" s="25">
        <v>0</v>
      </c>
      <c r="BF831" s="25">
        <f>831</f>
        <v>831</v>
      </c>
      <c r="BH831" s="25">
        <f t="shared" si="847"/>
        <v>0</v>
      </c>
      <c r="BI831" s="25">
        <f t="shared" si="848"/>
        <v>0</v>
      </c>
      <c r="BJ831" s="25">
        <f t="shared" si="849"/>
        <v>0</v>
      </c>
      <c r="BK831" s="27" t="s">
        <v>57</v>
      </c>
      <c r="BL831" s="25"/>
      <c r="BW831" s="25">
        <v>21</v>
      </c>
      <c r="BX831" s="5" t="s">
        <v>2453</v>
      </c>
    </row>
    <row r="832" spans="1:76" x14ac:dyDescent="0.25">
      <c r="A832" s="2" t="s">
        <v>1744</v>
      </c>
      <c r="B832" s="3" t="s">
        <v>2454</v>
      </c>
      <c r="C832" s="93" t="s">
        <v>2455</v>
      </c>
      <c r="D832" s="94"/>
      <c r="E832" s="3" t="s">
        <v>52</v>
      </c>
      <c r="F832" s="25">
        <v>14</v>
      </c>
      <c r="G832" s="25">
        <v>0</v>
      </c>
      <c r="H832" s="25">
        <f t="shared" si="828"/>
        <v>0</v>
      </c>
      <c r="I832" s="25">
        <f t="shared" si="829"/>
        <v>0</v>
      </c>
      <c r="J832" s="25">
        <f t="shared" si="830"/>
        <v>0</v>
      </c>
      <c r="K832" s="26" t="s">
        <v>53</v>
      </c>
      <c r="Z832" s="25">
        <f t="shared" si="831"/>
        <v>0</v>
      </c>
      <c r="AB832" s="25">
        <f t="shared" si="832"/>
        <v>0</v>
      </c>
      <c r="AC832" s="25">
        <f t="shared" si="833"/>
        <v>0</v>
      </c>
      <c r="AD832" s="25">
        <f t="shared" si="834"/>
        <v>0</v>
      </c>
      <c r="AE832" s="25">
        <f t="shared" si="835"/>
        <v>0</v>
      </c>
      <c r="AF832" s="25">
        <f t="shared" si="836"/>
        <v>0</v>
      </c>
      <c r="AG832" s="25">
        <f t="shared" si="837"/>
        <v>0</v>
      </c>
      <c r="AH832" s="25">
        <f t="shared" si="838"/>
        <v>0</v>
      </c>
      <c r="AI832" s="11" t="s">
        <v>46</v>
      </c>
      <c r="AJ832" s="25">
        <f t="shared" si="839"/>
        <v>0</v>
      </c>
      <c r="AK832" s="25">
        <f t="shared" si="840"/>
        <v>0</v>
      </c>
      <c r="AL832" s="25">
        <f t="shared" si="841"/>
        <v>0</v>
      </c>
      <c r="AN832" s="25">
        <v>21</v>
      </c>
      <c r="AO832" s="25">
        <f>G832*0.57</f>
        <v>0</v>
      </c>
      <c r="AP832" s="25">
        <f>G832*(1-0.57)</f>
        <v>0</v>
      </c>
      <c r="AQ832" s="27" t="s">
        <v>58</v>
      </c>
      <c r="AV832" s="25">
        <f t="shared" si="842"/>
        <v>0</v>
      </c>
      <c r="AW832" s="25">
        <f t="shared" si="843"/>
        <v>0</v>
      </c>
      <c r="AX832" s="25">
        <f t="shared" si="844"/>
        <v>0</v>
      </c>
      <c r="AY832" s="27" t="s">
        <v>2450</v>
      </c>
      <c r="AZ832" s="27" t="s">
        <v>305</v>
      </c>
      <c r="BA832" s="11" t="s">
        <v>56</v>
      </c>
      <c r="BC832" s="25">
        <f t="shared" si="845"/>
        <v>0</v>
      </c>
      <c r="BD832" s="25">
        <f t="shared" si="846"/>
        <v>0</v>
      </c>
      <c r="BE832" s="25">
        <v>0</v>
      </c>
      <c r="BF832" s="25">
        <f>832</f>
        <v>832</v>
      </c>
      <c r="BH832" s="25">
        <f t="shared" si="847"/>
        <v>0</v>
      </c>
      <c r="BI832" s="25">
        <f t="shared" si="848"/>
        <v>0</v>
      </c>
      <c r="BJ832" s="25">
        <f t="shared" si="849"/>
        <v>0</v>
      </c>
      <c r="BK832" s="27" t="s">
        <v>57</v>
      </c>
      <c r="BL832" s="25"/>
      <c r="BW832" s="25">
        <v>21</v>
      </c>
      <c r="BX832" s="5" t="s">
        <v>2455</v>
      </c>
    </row>
    <row r="833" spans="1:76" x14ac:dyDescent="0.25">
      <c r="A833" s="2" t="s">
        <v>1777</v>
      </c>
      <c r="B833" s="3" t="s">
        <v>2456</v>
      </c>
      <c r="C833" s="93" t="s">
        <v>2457</v>
      </c>
      <c r="D833" s="94"/>
      <c r="E833" s="3" t="s">
        <v>52</v>
      </c>
      <c r="F833" s="25">
        <v>39</v>
      </c>
      <c r="G833" s="25">
        <v>0</v>
      </c>
      <c r="H833" s="25">
        <f t="shared" si="828"/>
        <v>0</v>
      </c>
      <c r="I833" s="25">
        <f t="shared" si="829"/>
        <v>0</v>
      </c>
      <c r="J833" s="25">
        <f t="shared" si="830"/>
        <v>0</v>
      </c>
      <c r="K833" s="26" t="s">
        <v>53</v>
      </c>
      <c r="Z833" s="25">
        <f t="shared" si="831"/>
        <v>0</v>
      </c>
      <c r="AB833" s="25">
        <f t="shared" si="832"/>
        <v>0</v>
      </c>
      <c r="AC833" s="25">
        <f t="shared" si="833"/>
        <v>0</v>
      </c>
      <c r="AD833" s="25">
        <f t="shared" si="834"/>
        <v>0</v>
      </c>
      <c r="AE833" s="25">
        <f t="shared" si="835"/>
        <v>0</v>
      </c>
      <c r="AF833" s="25">
        <f t="shared" si="836"/>
        <v>0</v>
      </c>
      <c r="AG833" s="25">
        <f t="shared" si="837"/>
        <v>0</v>
      </c>
      <c r="AH833" s="25">
        <f t="shared" si="838"/>
        <v>0</v>
      </c>
      <c r="AI833" s="11" t="s">
        <v>46</v>
      </c>
      <c r="AJ833" s="25">
        <f t="shared" si="839"/>
        <v>0</v>
      </c>
      <c r="AK833" s="25">
        <f t="shared" si="840"/>
        <v>0</v>
      </c>
      <c r="AL833" s="25">
        <f t="shared" si="841"/>
        <v>0</v>
      </c>
      <c r="AN833" s="25">
        <v>21</v>
      </c>
      <c r="AO833" s="25">
        <f>G833*0.569999659</f>
        <v>0</v>
      </c>
      <c r="AP833" s="25">
        <f>G833*(1-0.569999659)</f>
        <v>0</v>
      </c>
      <c r="AQ833" s="27" t="s">
        <v>58</v>
      </c>
      <c r="AV833" s="25">
        <f t="shared" si="842"/>
        <v>0</v>
      </c>
      <c r="AW833" s="25">
        <f t="shared" si="843"/>
        <v>0</v>
      </c>
      <c r="AX833" s="25">
        <f t="shared" si="844"/>
        <v>0</v>
      </c>
      <c r="AY833" s="27" t="s">
        <v>2450</v>
      </c>
      <c r="AZ833" s="27" t="s">
        <v>305</v>
      </c>
      <c r="BA833" s="11" t="s">
        <v>56</v>
      </c>
      <c r="BC833" s="25">
        <f t="shared" si="845"/>
        <v>0</v>
      </c>
      <c r="BD833" s="25">
        <f t="shared" si="846"/>
        <v>0</v>
      </c>
      <c r="BE833" s="25">
        <v>0</v>
      </c>
      <c r="BF833" s="25">
        <f>833</f>
        <v>833</v>
      </c>
      <c r="BH833" s="25">
        <f t="shared" si="847"/>
        <v>0</v>
      </c>
      <c r="BI833" s="25">
        <f t="shared" si="848"/>
        <v>0</v>
      </c>
      <c r="BJ833" s="25">
        <f t="shared" si="849"/>
        <v>0</v>
      </c>
      <c r="BK833" s="27" t="s">
        <v>57</v>
      </c>
      <c r="BL833" s="25"/>
      <c r="BW833" s="25">
        <v>21</v>
      </c>
      <c r="BX833" s="5" t="s">
        <v>2457</v>
      </c>
    </row>
    <row r="834" spans="1:76" x14ac:dyDescent="0.25">
      <c r="A834" s="2" t="s">
        <v>2458</v>
      </c>
      <c r="B834" s="3" t="s">
        <v>2459</v>
      </c>
      <c r="C834" s="93" t="s">
        <v>2460</v>
      </c>
      <c r="D834" s="94"/>
      <c r="E834" s="3" t="s">
        <v>52</v>
      </c>
      <c r="F834" s="25">
        <v>41</v>
      </c>
      <c r="G834" s="25">
        <v>0</v>
      </c>
      <c r="H834" s="25">
        <f t="shared" si="828"/>
        <v>0</v>
      </c>
      <c r="I834" s="25">
        <f t="shared" si="829"/>
        <v>0</v>
      </c>
      <c r="J834" s="25">
        <f t="shared" si="830"/>
        <v>0</v>
      </c>
      <c r="K834" s="26" t="s">
        <v>53</v>
      </c>
      <c r="Z834" s="25">
        <f t="shared" si="831"/>
        <v>0</v>
      </c>
      <c r="AB834" s="25">
        <f t="shared" si="832"/>
        <v>0</v>
      </c>
      <c r="AC834" s="25">
        <f t="shared" si="833"/>
        <v>0</v>
      </c>
      <c r="AD834" s="25">
        <f t="shared" si="834"/>
        <v>0</v>
      </c>
      <c r="AE834" s="25">
        <f t="shared" si="835"/>
        <v>0</v>
      </c>
      <c r="AF834" s="25">
        <f t="shared" si="836"/>
        <v>0</v>
      </c>
      <c r="AG834" s="25">
        <f t="shared" si="837"/>
        <v>0</v>
      </c>
      <c r="AH834" s="25">
        <f t="shared" si="838"/>
        <v>0</v>
      </c>
      <c r="AI834" s="11" t="s">
        <v>46</v>
      </c>
      <c r="AJ834" s="25">
        <f t="shared" si="839"/>
        <v>0</v>
      </c>
      <c r="AK834" s="25">
        <f t="shared" si="840"/>
        <v>0</v>
      </c>
      <c r="AL834" s="25">
        <f t="shared" si="841"/>
        <v>0</v>
      </c>
      <c r="AN834" s="25">
        <v>21</v>
      </c>
      <c r="AO834" s="25">
        <f>G834*0.57</f>
        <v>0</v>
      </c>
      <c r="AP834" s="25">
        <f>G834*(1-0.57)</f>
        <v>0</v>
      </c>
      <c r="AQ834" s="27" t="s">
        <v>58</v>
      </c>
      <c r="AV834" s="25">
        <f t="shared" si="842"/>
        <v>0</v>
      </c>
      <c r="AW834" s="25">
        <f t="shared" si="843"/>
        <v>0</v>
      </c>
      <c r="AX834" s="25">
        <f t="shared" si="844"/>
        <v>0</v>
      </c>
      <c r="AY834" s="27" t="s">
        <v>2450</v>
      </c>
      <c r="AZ834" s="27" t="s">
        <v>305</v>
      </c>
      <c r="BA834" s="11" t="s">
        <v>56</v>
      </c>
      <c r="BC834" s="25">
        <f t="shared" si="845"/>
        <v>0</v>
      </c>
      <c r="BD834" s="25">
        <f t="shared" si="846"/>
        <v>0</v>
      </c>
      <c r="BE834" s="25">
        <v>0</v>
      </c>
      <c r="BF834" s="25">
        <f>834</f>
        <v>834</v>
      </c>
      <c r="BH834" s="25">
        <f t="shared" si="847"/>
        <v>0</v>
      </c>
      <c r="BI834" s="25">
        <f t="shared" si="848"/>
        <v>0</v>
      </c>
      <c r="BJ834" s="25">
        <f t="shared" si="849"/>
        <v>0</v>
      </c>
      <c r="BK834" s="27" t="s">
        <v>57</v>
      </c>
      <c r="BL834" s="25"/>
      <c r="BW834" s="25">
        <v>21</v>
      </c>
      <c r="BX834" s="5" t="s">
        <v>2460</v>
      </c>
    </row>
    <row r="835" spans="1:76" x14ac:dyDescent="0.25">
      <c r="A835" s="2" t="s">
        <v>1809</v>
      </c>
      <c r="B835" s="3" t="s">
        <v>2461</v>
      </c>
      <c r="C835" s="93" t="s">
        <v>2462</v>
      </c>
      <c r="D835" s="94"/>
      <c r="E835" s="3" t="s">
        <v>52</v>
      </c>
      <c r="F835" s="25">
        <v>5</v>
      </c>
      <c r="G835" s="25">
        <v>0</v>
      </c>
      <c r="H835" s="25">
        <f t="shared" si="828"/>
        <v>0</v>
      </c>
      <c r="I835" s="25">
        <f t="shared" si="829"/>
        <v>0</v>
      </c>
      <c r="J835" s="25">
        <f t="shared" si="830"/>
        <v>0</v>
      </c>
      <c r="K835" s="26" t="s">
        <v>53</v>
      </c>
      <c r="Z835" s="25">
        <f t="shared" si="831"/>
        <v>0</v>
      </c>
      <c r="AB835" s="25">
        <f t="shared" si="832"/>
        <v>0</v>
      </c>
      <c r="AC835" s="25">
        <f t="shared" si="833"/>
        <v>0</v>
      </c>
      <c r="AD835" s="25">
        <f t="shared" si="834"/>
        <v>0</v>
      </c>
      <c r="AE835" s="25">
        <f t="shared" si="835"/>
        <v>0</v>
      </c>
      <c r="AF835" s="25">
        <f t="shared" si="836"/>
        <v>0</v>
      </c>
      <c r="AG835" s="25">
        <f t="shared" si="837"/>
        <v>0</v>
      </c>
      <c r="AH835" s="25">
        <f t="shared" si="838"/>
        <v>0</v>
      </c>
      <c r="AI835" s="11" t="s">
        <v>46</v>
      </c>
      <c r="AJ835" s="25">
        <f t="shared" si="839"/>
        <v>0</v>
      </c>
      <c r="AK835" s="25">
        <f t="shared" si="840"/>
        <v>0</v>
      </c>
      <c r="AL835" s="25">
        <f t="shared" si="841"/>
        <v>0</v>
      </c>
      <c r="AN835" s="25">
        <v>21</v>
      </c>
      <c r="AO835" s="25">
        <f>G835*0.569997307</f>
        <v>0</v>
      </c>
      <c r="AP835" s="25">
        <f>G835*(1-0.569997307)</f>
        <v>0</v>
      </c>
      <c r="AQ835" s="27" t="s">
        <v>58</v>
      </c>
      <c r="AV835" s="25">
        <f t="shared" si="842"/>
        <v>0</v>
      </c>
      <c r="AW835" s="25">
        <f t="shared" si="843"/>
        <v>0</v>
      </c>
      <c r="AX835" s="25">
        <f t="shared" si="844"/>
        <v>0</v>
      </c>
      <c r="AY835" s="27" t="s">
        <v>2450</v>
      </c>
      <c r="AZ835" s="27" t="s">
        <v>305</v>
      </c>
      <c r="BA835" s="11" t="s">
        <v>56</v>
      </c>
      <c r="BC835" s="25">
        <f t="shared" si="845"/>
        <v>0</v>
      </c>
      <c r="BD835" s="25">
        <f t="shared" si="846"/>
        <v>0</v>
      </c>
      <c r="BE835" s="25">
        <v>0</v>
      </c>
      <c r="BF835" s="25">
        <f>835</f>
        <v>835</v>
      </c>
      <c r="BH835" s="25">
        <f t="shared" si="847"/>
        <v>0</v>
      </c>
      <c r="BI835" s="25">
        <f t="shared" si="848"/>
        <v>0</v>
      </c>
      <c r="BJ835" s="25">
        <f t="shared" si="849"/>
        <v>0</v>
      </c>
      <c r="BK835" s="27" t="s">
        <v>57</v>
      </c>
      <c r="BL835" s="25"/>
      <c r="BW835" s="25">
        <v>21</v>
      </c>
      <c r="BX835" s="5" t="s">
        <v>2462</v>
      </c>
    </row>
    <row r="836" spans="1:76" x14ac:dyDescent="0.25">
      <c r="A836" s="2" t="s">
        <v>2463</v>
      </c>
      <c r="B836" s="3" t="s">
        <v>2464</v>
      </c>
      <c r="C836" s="93" t="s">
        <v>2465</v>
      </c>
      <c r="D836" s="94"/>
      <c r="E836" s="3" t="s">
        <v>52</v>
      </c>
      <c r="F836" s="25">
        <v>2</v>
      </c>
      <c r="G836" s="25">
        <v>0</v>
      </c>
      <c r="H836" s="25">
        <f t="shared" si="828"/>
        <v>0</v>
      </c>
      <c r="I836" s="25">
        <f t="shared" si="829"/>
        <v>0</v>
      </c>
      <c r="J836" s="25">
        <f t="shared" si="830"/>
        <v>0</v>
      </c>
      <c r="K836" s="26" t="s">
        <v>53</v>
      </c>
      <c r="Z836" s="25">
        <f t="shared" si="831"/>
        <v>0</v>
      </c>
      <c r="AB836" s="25">
        <f t="shared" si="832"/>
        <v>0</v>
      </c>
      <c r="AC836" s="25">
        <f t="shared" si="833"/>
        <v>0</v>
      </c>
      <c r="AD836" s="25">
        <f t="shared" si="834"/>
        <v>0</v>
      </c>
      <c r="AE836" s="25">
        <f t="shared" si="835"/>
        <v>0</v>
      </c>
      <c r="AF836" s="25">
        <f t="shared" si="836"/>
        <v>0</v>
      </c>
      <c r="AG836" s="25">
        <f t="shared" si="837"/>
        <v>0</v>
      </c>
      <c r="AH836" s="25">
        <f t="shared" si="838"/>
        <v>0</v>
      </c>
      <c r="AI836" s="11" t="s">
        <v>46</v>
      </c>
      <c r="AJ836" s="25">
        <f t="shared" si="839"/>
        <v>0</v>
      </c>
      <c r="AK836" s="25">
        <f t="shared" si="840"/>
        <v>0</v>
      </c>
      <c r="AL836" s="25">
        <f t="shared" si="841"/>
        <v>0</v>
      </c>
      <c r="AN836" s="25">
        <v>21</v>
      </c>
      <c r="AO836" s="25">
        <f>G836*0.569999162</f>
        <v>0</v>
      </c>
      <c r="AP836" s="25">
        <f>G836*(1-0.569999162)</f>
        <v>0</v>
      </c>
      <c r="AQ836" s="27" t="s">
        <v>58</v>
      </c>
      <c r="AV836" s="25">
        <f t="shared" si="842"/>
        <v>0</v>
      </c>
      <c r="AW836" s="25">
        <f t="shared" si="843"/>
        <v>0</v>
      </c>
      <c r="AX836" s="25">
        <f t="shared" si="844"/>
        <v>0</v>
      </c>
      <c r="AY836" s="27" t="s">
        <v>2450</v>
      </c>
      <c r="AZ836" s="27" t="s">
        <v>305</v>
      </c>
      <c r="BA836" s="11" t="s">
        <v>56</v>
      </c>
      <c r="BC836" s="25">
        <f t="shared" si="845"/>
        <v>0</v>
      </c>
      <c r="BD836" s="25">
        <f t="shared" si="846"/>
        <v>0</v>
      </c>
      <c r="BE836" s="25">
        <v>0</v>
      </c>
      <c r="BF836" s="25">
        <f>836</f>
        <v>836</v>
      </c>
      <c r="BH836" s="25">
        <f t="shared" si="847"/>
        <v>0</v>
      </c>
      <c r="BI836" s="25">
        <f t="shared" si="848"/>
        <v>0</v>
      </c>
      <c r="BJ836" s="25">
        <f t="shared" si="849"/>
        <v>0</v>
      </c>
      <c r="BK836" s="27" t="s">
        <v>57</v>
      </c>
      <c r="BL836" s="25"/>
      <c r="BW836" s="25">
        <v>21</v>
      </c>
      <c r="BX836" s="5" t="s">
        <v>2465</v>
      </c>
    </row>
    <row r="837" spans="1:76" x14ac:dyDescent="0.25">
      <c r="A837" s="2" t="s">
        <v>2466</v>
      </c>
      <c r="B837" s="3" t="s">
        <v>2467</v>
      </c>
      <c r="C837" s="93" t="s">
        <v>2468</v>
      </c>
      <c r="D837" s="94"/>
      <c r="E837" s="3" t="s">
        <v>52</v>
      </c>
      <c r="F837" s="25">
        <v>4</v>
      </c>
      <c r="G837" s="25">
        <v>0</v>
      </c>
      <c r="H837" s="25">
        <f t="shared" si="828"/>
        <v>0</v>
      </c>
      <c r="I837" s="25">
        <f t="shared" si="829"/>
        <v>0</v>
      </c>
      <c r="J837" s="25">
        <f t="shared" si="830"/>
        <v>0</v>
      </c>
      <c r="K837" s="26" t="s">
        <v>53</v>
      </c>
      <c r="Z837" s="25">
        <f t="shared" si="831"/>
        <v>0</v>
      </c>
      <c r="AB837" s="25">
        <f t="shared" si="832"/>
        <v>0</v>
      </c>
      <c r="AC837" s="25">
        <f t="shared" si="833"/>
        <v>0</v>
      </c>
      <c r="AD837" s="25">
        <f t="shared" si="834"/>
        <v>0</v>
      </c>
      <c r="AE837" s="25">
        <f t="shared" si="835"/>
        <v>0</v>
      </c>
      <c r="AF837" s="25">
        <f t="shared" si="836"/>
        <v>0</v>
      </c>
      <c r="AG837" s="25">
        <f t="shared" si="837"/>
        <v>0</v>
      </c>
      <c r="AH837" s="25">
        <f t="shared" si="838"/>
        <v>0</v>
      </c>
      <c r="AI837" s="11" t="s">
        <v>46</v>
      </c>
      <c r="AJ837" s="25">
        <f t="shared" si="839"/>
        <v>0</v>
      </c>
      <c r="AK837" s="25">
        <f t="shared" si="840"/>
        <v>0</v>
      </c>
      <c r="AL837" s="25">
        <f t="shared" si="841"/>
        <v>0</v>
      </c>
      <c r="AN837" s="25">
        <v>21</v>
      </c>
      <c r="AO837" s="25">
        <f>G837*0.570000169</f>
        <v>0</v>
      </c>
      <c r="AP837" s="25">
        <f>G837*(1-0.570000169)</f>
        <v>0</v>
      </c>
      <c r="AQ837" s="27" t="s">
        <v>58</v>
      </c>
      <c r="AV837" s="25">
        <f t="shared" si="842"/>
        <v>0</v>
      </c>
      <c r="AW837" s="25">
        <f t="shared" si="843"/>
        <v>0</v>
      </c>
      <c r="AX837" s="25">
        <f t="shared" si="844"/>
        <v>0</v>
      </c>
      <c r="AY837" s="27" t="s">
        <v>2450</v>
      </c>
      <c r="AZ837" s="27" t="s">
        <v>305</v>
      </c>
      <c r="BA837" s="11" t="s">
        <v>56</v>
      </c>
      <c r="BC837" s="25">
        <f t="shared" si="845"/>
        <v>0</v>
      </c>
      <c r="BD837" s="25">
        <f t="shared" si="846"/>
        <v>0</v>
      </c>
      <c r="BE837" s="25">
        <v>0</v>
      </c>
      <c r="BF837" s="25">
        <f>837</f>
        <v>837</v>
      </c>
      <c r="BH837" s="25">
        <f t="shared" si="847"/>
        <v>0</v>
      </c>
      <c r="BI837" s="25">
        <f t="shared" si="848"/>
        <v>0</v>
      </c>
      <c r="BJ837" s="25">
        <f t="shared" si="849"/>
        <v>0</v>
      </c>
      <c r="BK837" s="27" t="s">
        <v>57</v>
      </c>
      <c r="BL837" s="25"/>
      <c r="BW837" s="25">
        <v>21</v>
      </c>
      <c r="BX837" s="5" t="s">
        <v>2468</v>
      </c>
    </row>
    <row r="838" spans="1:76" x14ac:dyDescent="0.25">
      <c r="A838" s="2" t="s">
        <v>2469</v>
      </c>
      <c r="B838" s="3" t="s">
        <v>2470</v>
      </c>
      <c r="C838" s="93" t="s">
        <v>2471</v>
      </c>
      <c r="D838" s="94"/>
      <c r="E838" s="3" t="s">
        <v>52</v>
      </c>
      <c r="F838" s="25">
        <v>4</v>
      </c>
      <c r="G838" s="25">
        <v>0</v>
      </c>
      <c r="H838" s="25">
        <f t="shared" si="828"/>
        <v>0</v>
      </c>
      <c r="I838" s="25">
        <f t="shared" si="829"/>
        <v>0</v>
      </c>
      <c r="J838" s="25">
        <f t="shared" si="830"/>
        <v>0</v>
      </c>
      <c r="K838" s="26" t="s">
        <v>53</v>
      </c>
      <c r="Z838" s="25">
        <f t="shared" si="831"/>
        <v>0</v>
      </c>
      <c r="AB838" s="25">
        <f t="shared" si="832"/>
        <v>0</v>
      </c>
      <c r="AC838" s="25">
        <f t="shared" si="833"/>
        <v>0</v>
      </c>
      <c r="AD838" s="25">
        <f t="shared" si="834"/>
        <v>0</v>
      </c>
      <c r="AE838" s="25">
        <f t="shared" si="835"/>
        <v>0</v>
      </c>
      <c r="AF838" s="25">
        <f t="shared" si="836"/>
        <v>0</v>
      </c>
      <c r="AG838" s="25">
        <f t="shared" si="837"/>
        <v>0</v>
      </c>
      <c r="AH838" s="25">
        <f t="shared" si="838"/>
        <v>0</v>
      </c>
      <c r="AI838" s="11" t="s">
        <v>46</v>
      </c>
      <c r="AJ838" s="25">
        <f t="shared" si="839"/>
        <v>0</v>
      </c>
      <c r="AK838" s="25">
        <f t="shared" si="840"/>
        <v>0</v>
      </c>
      <c r="AL838" s="25">
        <f t="shared" si="841"/>
        <v>0</v>
      </c>
      <c r="AN838" s="25">
        <v>21</v>
      </c>
      <c r="AO838" s="25">
        <f>G838*0.570000194</f>
        <v>0</v>
      </c>
      <c r="AP838" s="25">
        <f>G838*(1-0.570000194)</f>
        <v>0</v>
      </c>
      <c r="AQ838" s="27" t="s">
        <v>58</v>
      </c>
      <c r="AV838" s="25">
        <f t="shared" si="842"/>
        <v>0</v>
      </c>
      <c r="AW838" s="25">
        <f t="shared" si="843"/>
        <v>0</v>
      </c>
      <c r="AX838" s="25">
        <f t="shared" si="844"/>
        <v>0</v>
      </c>
      <c r="AY838" s="27" t="s">
        <v>2450</v>
      </c>
      <c r="AZ838" s="27" t="s">
        <v>305</v>
      </c>
      <c r="BA838" s="11" t="s">
        <v>56</v>
      </c>
      <c r="BC838" s="25">
        <f t="shared" si="845"/>
        <v>0</v>
      </c>
      <c r="BD838" s="25">
        <f t="shared" si="846"/>
        <v>0</v>
      </c>
      <c r="BE838" s="25">
        <v>0</v>
      </c>
      <c r="BF838" s="25">
        <f>838</f>
        <v>838</v>
      </c>
      <c r="BH838" s="25">
        <f t="shared" si="847"/>
        <v>0</v>
      </c>
      <c r="BI838" s="25">
        <f t="shared" si="848"/>
        <v>0</v>
      </c>
      <c r="BJ838" s="25">
        <f t="shared" si="849"/>
        <v>0</v>
      </c>
      <c r="BK838" s="27" t="s">
        <v>57</v>
      </c>
      <c r="BL838" s="25"/>
      <c r="BW838" s="25">
        <v>21</v>
      </c>
      <c r="BX838" s="5" t="s">
        <v>2471</v>
      </c>
    </row>
    <row r="839" spans="1:76" x14ac:dyDescent="0.25">
      <c r="A839" s="2" t="s">
        <v>2472</v>
      </c>
      <c r="B839" s="3" t="s">
        <v>2473</v>
      </c>
      <c r="C839" s="93" t="s">
        <v>2474</v>
      </c>
      <c r="D839" s="94"/>
      <c r="E839" s="3" t="s">
        <v>52</v>
      </c>
      <c r="F839" s="25">
        <v>3</v>
      </c>
      <c r="G839" s="25">
        <v>0</v>
      </c>
      <c r="H839" s="25">
        <f t="shared" si="828"/>
        <v>0</v>
      </c>
      <c r="I839" s="25">
        <f t="shared" si="829"/>
        <v>0</v>
      </c>
      <c r="J839" s="25">
        <f t="shared" si="830"/>
        <v>0</v>
      </c>
      <c r="K839" s="26" t="s">
        <v>53</v>
      </c>
      <c r="Z839" s="25">
        <f t="shared" si="831"/>
        <v>0</v>
      </c>
      <c r="AB839" s="25">
        <f t="shared" si="832"/>
        <v>0</v>
      </c>
      <c r="AC839" s="25">
        <f t="shared" si="833"/>
        <v>0</v>
      </c>
      <c r="AD839" s="25">
        <f t="shared" si="834"/>
        <v>0</v>
      </c>
      <c r="AE839" s="25">
        <f t="shared" si="835"/>
        <v>0</v>
      </c>
      <c r="AF839" s="25">
        <f t="shared" si="836"/>
        <v>0</v>
      </c>
      <c r="AG839" s="25">
        <f t="shared" si="837"/>
        <v>0</v>
      </c>
      <c r="AH839" s="25">
        <f t="shared" si="838"/>
        <v>0</v>
      </c>
      <c r="AI839" s="11" t="s">
        <v>46</v>
      </c>
      <c r="AJ839" s="25">
        <f t="shared" si="839"/>
        <v>0</v>
      </c>
      <c r="AK839" s="25">
        <f t="shared" si="840"/>
        <v>0</v>
      </c>
      <c r="AL839" s="25">
        <f t="shared" si="841"/>
        <v>0</v>
      </c>
      <c r="AN839" s="25">
        <v>21</v>
      </c>
      <c r="AO839" s="25">
        <f>G839*0.569999837</f>
        <v>0</v>
      </c>
      <c r="AP839" s="25">
        <f>G839*(1-0.569999837)</f>
        <v>0</v>
      </c>
      <c r="AQ839" s="27" t="s">
        <v>58</v>
      </c>
      <c r="AV839" s="25">
        <f t="shared" si="842"/>
        <v>0</v>
      </c>
      <c r="AW839" s="25">
        <f t="shared" si="843"/>
        <v>0</v>
      </c>
      <c r="AX839" s="25">
        <f t="shared" si="844"/>
        <v>0</v>
      </c>
      <c r="AY839" s="27" t="s">
        <v>2450</v>
      </c>
      <c r="AZ839" s="27" t="s">
        <v>305</v>
      </c>
      <c r="BA839" s="11" t="s">
        <v>56</v>
      </c>
      <c r="BC839" s="25">
        <f t="shared" si="845"/>
        <v>0</v>
      </c>
      <c r="BD839" s="25">
        <f t="shared" si="846"/>
        <v>0</v>
      </c>
      <c r="BE839" s="25">
        <v>0</v>
      </c>
      <c r="BF839" s="25">
        <f>839</f>
        <v>839</v>
      </c>
      <c r="BH839" s="25">
        <f t="shared" si="847"/>
        <v>0</v>
      </c>
      <c r="BI839" s="25">
        <f t="shared" si="848"/>
        <v>0</v>
      </c>
      <c r="BJ839" s="25">
        <f t="shared" si="849"/>
        <v>0</v>
      </c>
      <c r="BK839" s="27" t="s">
        <v>57</v>
      </c>
      <c r="BL839" s="25"/>
      <c r="BW839" s="25">
        <v>21</v>
      </c>
      <c r="BX839" s="5" t="s">
        <v>2474</v>
      </c>
    </row>
    <row r="840" spans="1:76" x14ac:dyDescent="0.25">
      <c r="A840" s="2" t="s">
        <v>2475</v>
      </c>
      <c r="B840" s="3" t="s">
        <v>2476</v>
      </c>
      <c r="C840" s="93" t="s">
        <v>2477</v>
      </c>
      <c r="D840" s="94"/>
      <c r="E840" s="3" t="s">
        <v>52</v>
      </c>
      <c r="F840" s="25">
        <v>1</v>
      </c>
      <c r="G840" s="25">
        <v>0</v>
      </c>
      <c r="H840" s="25">
        <f t="shared" si="828"/>
        <v>0</v>
      </c>
      <c r="I840" s="25">
        <f t="shared" si="829"/>
        <v>0</v>
      </c>
      <c r="J840" s="25">
        <f t="shared" si="830"/>
        <v>0</v>
      </c>
      <c r="K840" s="26" t="s">
        <v>53</v>
      </c>
      <c r="Z840" s="25">
        <f t="shared" si="831"/>
        <v>0</v>
      </c>
      <c r="AB840" s="25">
        <f t="shared" si="832"/>
        <v>0</v>
      </c>
      <c r="AC840" s="25">
        <f t="shared" si="833"/>
        <v>0</v>
      </c>
      <c r="AD840" s="25">
        <f t="shared" si="834"/>
        <v>0</v>
      </c>
      <c r="AE840" s="25">
        <f t="shared" si="835"/>
        <v>0</v>
      </c>
      <c r="AF840" s="25">
        <f t="shared" si="836"/>
        <v>0</v>
      </c>
      <c r="AG840" s="25">
        <f t="shared" si="837"/>
        <v>0</v>
      </c>
      <c r="AH840" s="25">
        <f t="shared" si="838"/>
        <v>0</v>
      </c>
      <c r="AI840" s="11" t="s">
        <v>46</v>
      </c>
      <c r="AJ840" s="25">
        <f t="shared" si="839"/>
        <v>0</v>
      </c>
      <c r="AK840" s="25">
        <f t="shared" si="840"/>
        <v>0</v>
      </c>
      <c r="AL840" s="25">
        <f t="shared" si="841"/>
        <v>0</v>
      </c>
      <c r="AN840" s="25">
        <v>21</v>
      </c>
      <c r="AO840" s="25">
        <f>G840*0.569979683</f>
        <v>0</v>
      </c>
      <c r="AP840" s="25">
        <f>G840*(1-0.569979683)</f>
        <v>0</v>
      </c>
      <c r="AQ840" s="27" t="s">
        <v>58</v>
      </c>
      <c r="AV840" s="25">
        <f t="shared" si="842"/>
        <v>0</v>
      </c>
      <c r="AW840" s="25">
        <f t="shared" si="843"/>
        <v>0</v>
      </c>
      <c r="AX840" s="25">
        <f t="shared" si="844"/>
        <v>0</v>
      </c>
      <c r="AY840" s="27" t="s">
        <v>2450</v>
      </c>
      <c r="AZ840" s="27" t="s">
        <v>305</v>
      </c>
      <c r="BA840" s="11" t="s">
        <v>56</v>
      </c>
      <c r="BC840" s="25">
        <f t="shared" si="845"/>
        <v>0</v>
      </c>
      <c r="BD840" s="25">
        <f t="shared" si="846"/>
        <v>0</v>
      </c>
      <c r="BE840" s="25">
        <v>0</v>
      </c>
      <c r="BF840" s="25">
        <f>840</f>
        <v>840</v>
      </c>
      <c r="BH840" s="25">
        <f t="shared" si="847"/>
        <v>0</v>
      </c>
      <c r="BI840" s="25">
        <f t="shared" si="848"/>
        <v>0</v>
      </c>
      <c r="BJ840" s="25">
        <f t="shared" si="849"/>
        <v>0</v>
      </c>
      <c r="BK840" s="27" t="s">
        <v>57</v>
      </c>
      <c r="BL840" s="25"/>
      <c r="BW840" s="25">
        <v>21</v>
      </c>
      <c r="BX840" s="5" t="s">
        <v>2477</v>
      </c>
    </row>
    <row r="841" spans="1:76" x14ac:dyDescent="0.25">
      <c r="A841" s="2" t="s">
        <v>2478</v>
      </c>
      <c r="B841" s="3" t="s">
        <v>2479</v>
      </c>
      <c r="C841" s="93" t="s">
        <v>2480</v>
      </c>
      <c r="D841" s="94"/>
      <c r="E841" s="3" t="s">
        <v>52</v>
      </c>
      <c r="F841" s="25">
        <v>1</v>
      </c>
      <c r="G841" s="25">
        <v>0</v>
      </c>
      <c r="H841" s="25">
        <f t="shared" si="828"/>
        <v>0</v>
      </c>
      <c r="I841" s="25">
        <f t="shared" si="829"/>
        <v>0</v>
      </c>
      <c r="J841" s="25">
        <f t="shared" si="830"/>
        <v>0</v>
      </c>
      <c r="K841" s="26" t="s">
        <v>53</v>
      </c>
      <c r="Z841" s="25">
        <f t="shared" si="831"/>
        <v>0</v>
      </c>
      <c r="AB841" s="25">
        <f t="shared" si="832"/>
        <v>0</v>
      </c>
      <c r="AC841" s="25">
        <f t="shared" si="833"/>
        <v>0</v>
      </c>
      <c r="AD841" s="25">
        <f t="shared" si="834"/>
        <v>0</v>
      </c>
      <c r="AE841" s="25">
        <f t="shared" si="835"/>
        <v>0</v>
      </c>
      <c r="AF841" s="25">
        <f t="shared" si="836"/>
        <v>0</v>
      </c>
      <c r="AG841" s="25">
        <f t="shared" si="837"/>
        <v>0</v>
      </c>
      <c r="AH841" s="25">
        <f t="shared" si="838"/>
        <v>0</v>
      </c>
      <c r="AI841" s="11" t="s">
        <v>46</v>
      </c>
      <c r="AJ841" s="25">
        <f t="shared" si="839"/>
        <v>0</v>
      </c>
      <c r="AK841" s="25">
        <f t="shared" si="840"/>
        <v>0</v>
      </c>
      <c r="AL841" s="25">
        <f t="shared" si="841"/>
        <v>0</v>
      </c>
      <c r="AN841" s="25">
        <v>21</v>
      </c>
      <c r="AO841" s="25">
        <f>G841*0.57</f>
        <v>0</v>
      </c>
      <c r="AP841" s="25">
        <f>G841*(1-0.57)</f>
        <v>0</v>
      </c>
      <c r="AQ841" s="27" t="s">
        <v>58</v>
      </c>
      <c r="AV841" s="25">
        <f t="shared" si="842"/>
        <v>0</v>
      </c>
      <c r="AW841" s="25">
        <f t="shared" si="843"/>
        <v>0</v>
      </c>
      <c r="AX841" s="25">
        <f t="shared" si="844"/>
        <v>0</v>
      </c>
      <c r="AY841" s="27" t="s">
        <v>2450</v>
      </c>
      <c r="AZ841" s="27" t="s">
        <v>305</v>
      </c>
      <c r="BA841" s="11" t="s">
        <v>56</v>
      </c>
      <c r="BC841" s="25">
        <f t="shared" si="845"/>
        <v>0</v>
      </c>
      <c r="BD841" s="25">
        <f t="shared" si="846"/>
        <v>0</v>
      </c>
      <c r="BE841" s="25">
        <v>0</v>
      </c>
      <c r="BF841" s="25">
        <f>841</f>
        <v>841</v>
      </c>
      <c r="BH841" s="25">
        <f t="shared" si="847"/>
        <v>0</v>
      </c>
      <c r="BI841" s="25">
        <f t="shared" si="848"/>
        <v>0</v>
      </c>
      <c r="BJ841" s="25">
        <f t="shared" si="849"/>
        <v>0</v>
      </c>
      <c r="BK841" s="27" t="s">
        <v>57</v>
      </c>
      <c r="BL841" s="25"/>
      <c r="BW841" s="25">
        <v>21</v>
      </c>
      <c r="BX841" s="5" t="s">
        <v>2480</v>
      </c>
    </row>
    <row r="842" spans="1:76" x14ac:dyDescent="0.25">
      <c r="A842" s="2" t="s">
        <v>2481</v>
      </c>
      <c r="B842" s="3" t="s">
        <v>2482</v>
      </c>
      <c r="C842" s="93" t="s">
        <v>2483</v>
      </c>
      <c r="D842" s="94"/>
      <c r="E842" s="3" t="s">
        <v>131</v>
      </c>
      <c r="F842" s="25">
        <v>360</v>
      </c>
      <c r="G842" s="25">
        <v>0</v>
      </c>
      <c r="H842" s="25">
        <f t="shared" si="828"/>
        <v>0</v>
      </c>
      <c r="I842" s="25">
        <f t="shared" si="829"/>
        <v>0</v>
      </c>
      <c r="J842" s="25">
        <f t="shared" si="830"/>
        <v>0</v>
      </c>
      <c r="K842" s="26" t="s">
        <v>53</v>
      </c>
      <c r="Z842" s="25">
        <f t="shared" si="831"/>
        <v>0</v>
      </c>
      <c r="AB842" s="25">
        <f t="shared" si="832"/>
        <v>0</v>
      </c>
      <c r="AC842" s="25">
        <f t="shared" si="833"/>
        <v>0</v>
      </c>
      <c r="AD842" s="25">
        <f t="shared" si="834"/>
        <v>0</v>
      </c>
      <c r="AE842" s="25">
        <f t="shared" si="835"/>
        <v>0</v>
      </c>
      <c r="AF842" s="25">
        <f t="shared" si="836"/>
        <v>0</v>
      </c>
      <c r="AG842" s="25">
        <f t="shared" si="837"/>
        <v>0</v>
      </c>
      <c r="AH842" s="25">
        <f t="shared" si="838"/>
        <v>0</v>
      </c>
      <c r="AI842" s="11" t="s">
        <v>46</v>
      </c>
      <c r="AJ842" s="25">
        <f t="shared" si="839"/>
        <v>0</v>
      </c>
      <c r="AK842" s="25">
        <f t="shared" si="840"/>
        <v>0</v>
      </c>
      <c r="AL842" s="25">
        <f t="shared" si="841"/>
        <v>0</v>
      </c>
      <c r="AN842" s="25">
        <v>21</v>
      </c>
      <c r="AO842" s="25">
        <f>G842*0.569981935</f>
        <v>0</v>
      </c>
      <c r="AP842" s="25">
        <f>G842*(1-0.569981935)</f>
        <v>0</v>
      </c>
      <c r="AQ842" s="27" t="s">
        <v>58</v>
      </c>
      <c r="AV842" s="25">
        <f t="shared" si="842"/>
        <v>0</v>
      </c>
      <c r="AW842" s="25">
        <f t="shared" si="843"/>
        <v>0</v>
      </c>
      <c r="AX842" s="25">
        <f t="shared" si="844"/>
        <v>0</v>
      </c>
      <c r="AY842" s="27" t="s">
        <v>2450</v>
      </c>
      <c r="AZ842" s="27" t="s">
        <v>305</v>
      </c>
      <c r="BA842" s="11" t="s">
        <v>56</v>
      </c>
      <c r="BC842" s="25">
        <f t="shared" si="845"/>
        <v>0</v>
      </c>
      <c r="BD842" s="25">
        <f t="shared" si="846"/>
        <v>0</v>
      </c>
      <c r="BE842" s="25">
        <v>0</v>
      </c>
      <c r="BF842" s="25">
        <f>842</f>
        <v>842</v>
      </c>
      <c r="BH842" s="25">
        <f t="shared" si="847"/>
        <v>0</v>
      </c>
      <c r="BI842" s="25">
        <f t="shared" si="848"/>
        <v>0</v>
      </c>
      <c r="BJ842" s="25">
        <f t="shared" si="849"/>
        <v>0</v>
      </c>
      <c r="BK842" s="27" t="s">
        <v>57</v>
      </c>
      <c r="BL842" s="25"/>
      <c r="BW842" s="25">
        <v>21</v>
      </c>
      <c r="BX842" s="5" t="s">
        <v>2483</v>
      </c>
    </row>
    <row r="843" spans="1:76" x14ac:dyDescent="0.25">
      <c r="A843" s="2" t="s">
        <v>2484</v>
      </c>
      <c r="B843" s="3" t="s">
        <v>2485</v>
      </c>
      <c r="C843" s="93" t="s">
        <v>2486</v>
      </c>
      <c r="D843" s="94"/>
      <c r="E843" s="3" t="s">
        <v>131</v>
      </c>
      <c r="F843" s="25">
        <v>250</v>
      </c>
      <c r="G843" s="25">
        <v>0</v>
      </c>
      <c r="H843" s="25">
        <f t="shared" si="828"/>
        <v>0</v>
      </c>
      <c r="I843" s="25">
        <f t="shared" si="829"/>
        <v>0</v>
      </c>
      <c r="J843" s="25">
        <f t="shared" si="830"/>
        <v>0</v>
      </c>
      <c r="K843" s="26" t="s">
        <v>53</v>
      </c>
      <c r="Z843" s="25">
        <f t="shared" si="831"/>
        <v>0</v>
      </c>
      <c r="AB843" s="25">
        <f t="shared" si="832"/>
        <v>0</v>
      </c>
      <c r="AC843" s="25">
        <f t="shared" si="833"/>
        <v>0</v>
      </c>
      <c r="AD843" s="25">
        <f t="shared" si="834"/>
        <v>0</v>
      </c>
      <c r="AE843" s="25">
        <f t="shared" si="835"/>
        <v>0</v>
      </c>
      <c r="AF843" s="25">
        <f t="shared" si="836"/>
        <v>0</v>
      </c>
      <c r="AG843" s="25">
        <f t="shared" si="837"/>
        <v>0</v>
      </c>
      <c r="AH843" s="25">
        <f t="shared" si="838"/>
        <v>0</v>
      </c>
      <c r="AI843" s="11" t="s">
        <v>46</v>
      </c>
      <c r="AJ843" s="25">
        <f t="shared" si="839"/>
        <v>0</v>
      </c>
      <c r="AK843" s="25">
        <f t="shared" si="840"/>
        <v>0</v>
      </c>
      <c r="AL843" s="25">
        <f t="shared" si="841"/>
        <v>0</v>
      </c>
      <c r="AN843" s="25">
        <v>21</v>
      </c>
      <c r="AO843" s="25">
        <f>G843*0.569992023</f>
        <v>0</v>
      </c>
      <c r="AP843" s="25">
        <f>G843*(1-0.569992023)</f>
        <v>0</v>
      </c>
      <c r="AQ843" s="27" t="s">
        <v>58</v>
      </c>
      <c r="AV843" s="25">
        <f t="shared" si="842"/>
        <v>0</v>
      </c>
      <c r="AW843" s="25">
        <f t="shared" si="843"/>
        <v>0</v>
      </c>
      <c r="AX843" s="25">
        <f t="shared" si="844"/>
        <v>0</v>
      </c>
      <c r="AY843" s="27" t="s">
        <v>2450</v>
      </c>
      <c r="AZ843" s="27" t="s">
        <v>305</v>
      </c>
      <c r="BA843" s="11" t="s">
        <v>56</v>
      </c>
      <c r="BC843" s="25">
        <f t="shared" si="845"/>
        <v>0</v>
      </c>
      <c r="BD843" s="25">
        <f t="shared" si="846"/>
        <v>0</v>
      </c>
      <c r="BE843" s="25">
        <v>0</v>
      </c>
      <c r="BF843" s="25">
        <f>843</f>
        <v>843</v>
      </c>
      <c r="BH843" s="25">
        <f t="shared" si="847"/>
        <v>0</v>
      </c>
      <c r="BI843" s="25">
        <f t="shared" si="848"/>
        <v>0</v>
      </c>
      <c r="BJ843" s="25">
        <f t="shared" si="849"/>
        <v>0</v>
      </c>
      <c r="BK843" s="27" t="s">
        <v>57</v>
      </c>
      <c r="BL843" s="25"/>
      <c r="BW843" s="25">
        <v>21</v>
      </c>
      <c r="BX843" s="5" t="s">
        <v>2486</v>
      </c>
    </row>
    <row r="844" spans="1:76" x14ac:dyDescent="0.25">
      <c r="A844" s="2" t="s">
        <v>2487</v>
      </c>
      <c r="B844" s="3" t="s">
        <v>2488</v>
      </c>
      <c r="C844" s="93" t="s">
        <v>2489</v>
      </c>
      <c r="D844" s="94"/>
      <c r="E844" s="3" t="s">
        <v>52</v>
      </c>
      <c r="F844" s="25">
        <v>1100</v>
      </c>
      <c r="G844" s="25">
        <v>0</v>
      </c>
      <c r="H844" s="25">
        <f t="shared" si="828"/>
        <v>0</v>
      </c>
      <c r="I844" s="25">
        <f t="shared" si="829"/>
        <v>0</v>
      </c>
      <c r="J844" s="25">
        <f t="shared" si="830"/>
        <v>0</v>
      </c>
      <c r="K844" s="26" t="s">
        <v>53</v>
      </c>
      <c r="Z844" s="25">
        <f t="shared" si="831"/>
        <v>0</v>
      </c>
      <c r="AB844" s="25">
        <f t="shared" si="832"/>
        <v>0</v>
      </c>
      <c r="AC844" s="25">
        <f t="shared" si="833"/>
        <v>0</v>
      </c>
      <c r="AD844" s="25">
        <f t="shared" si="834"/>
        <v>0</v>
      </c>
      <c r="AE844" s="25">
        <f t="shared" si="835"/>
        <v>0</v>
      </c>
      <c r="AF844" s="25">
        <f t="shared" si="836"/>
        <v>0</v>
      </c>
      <c r="AG844" s="25">
        <f t="shared" si="837"/>
        <v>0</v>
      </c>
      <c r="AH844" s="25">
        <f t="shared" si="838"/>
        <v>0</v>
      </c>
      <c r="AI844" s="11" t="s">
        <v>46</v>
      </c>
      <c r="AJ844" s="25">
        <f t="shared" si="839"/>
        <v>0</v>
      </c>
      <c r="AK844" s="25">
        <f t="shared" si="840"/>
        <v>0</v>
      </c>
      <c r="AL844" s="25">
        <f t="shared" si="841"/>
        <v>0</v>
      </c>
      <c r="AN844" s="25">
        <v>21</v>
      </c>
      <c r="AO844" s="25">
        <f>G844*0.57</f>
        <v>0</v>
      </c>
      <c r="AP844" s="25">
        <f>G844*(1-0.57)</f>
        <v>0</v>
      </c>
      <c r="AQ844" s="27" t="s">
        <v>58</v>
      </c>
      <c r="AV844" s="25">
        <f t="shared" si="842"/>
        <v>0</v>
      </c>
      <c r="AW844" s="25">
        <f t="shared" si="843"/>
        <v>0</v>
      </c>
      <c r="AX844" s="25">
        <f t="shared" si="844"/>
        <v>0</v>
      </c>
      <c r="AY844" s="27" t="s">
        <v>2450</v>
      </c>
      <c r="AZ844" s="27" t="s">
        <v>305</v>
      </c>
      <c r="BA844" s="11" t="s">
        <v>56</v>
      </c>
      <c r="BC844" s="25">
        <f t="shared" si="845"/>
        <v>0</v>
      </c>
      <c r="BD844" s="25">
        <f t="shared" si="846"/>
        <v>0</v>
      </c>
      <c r="BE844" s="25">
        <v>0</v>
      </c>
      <c r="BF844" s="25">
        <f>844</f>
        <v>844</v>
      </c>
      <c r="BH844" s="25">
        <f t="shared" si="847"/>
        <v>0</v>
      </c>
      <c r="BI844" s="25">
        <f t="shared" si="848"/>
        <v>0</v>
      </c>
      <c r="BJ844" s="25">
        <f t="shared" si="849"/>
        <v>0</v>
      </c>
      <c r="BK844" s="27" t="s">
        <v>57</v>
      </c>
      <c r="BL844" s="25"/>
      <c r="BW844" s="25">
        <v>21</v>
      </c>
      <c r="BX844" s="5" t="s">
        <v>2489</v>
      </c>
    </row>
    <row r="845" spans="1:76" x14ac:dyDescent="0.25">
      <c r="A845" s="2" t="s">
        <v>2490</v>
      </c>
      <c r="B845" s="3" t="s">
        <v>2491</v>
      </c>
      <c r="C845" s="93" t="s">
        <v>2492</v>
      </c>
      <c r="D845" s="94"/>
      <c r="E845" s="3" t="s">
        <v>52</v>
      </c>
      <c r="F845" s="25">
        <v>1000</v>
      </c>
      <c r="G845" s="25">
        <v>0</v>
      </c>
      <c r="H845" s="25">
        <f t="shared" si="828"/>
        <v>0</v>
      </c>
      <c r="I845" s="25">
        <f t="shared" si="829"/>
        <v>0</v>
      </c>
      <c r="J845" s="25">
        <f t="shared" si="830"/>
        <v>0</v>
      </c>
      <c r="K845" s="26" t="s">
        <v>53</v>
      </c>
      <c r="Z845" s="25">
        <f t="shared" si="831"/>
        <v>0</v>
      </c>
      <c r="AB845" s="25">
        <f t="shared" si="832"/>
        <v>0</v>
      </c>
      <c r="AC845" s="25">
        <f t="shared" si="833"/>
        <v>0</v>
      </c>
      <c r="AD845" s="25">
        <f t="shared" si="834"/>
        <v>0</v>
      </c>
      <c r="AE845" s="25">
        <f t="shared" si="835"/>
        <v>0</v>
      </c>
      <c r="AF845" s="25">
        <f t="shared" si="836"/>
        <v>0</v>
      </c>
      <c r="AG845" s="25">
        <f t="shared" si="837"/>
        <v>0</v>
      </c>
      <c r="AH845" s="25">
        <f t="shared" si="838"/>
        <v>0</v>
      </c>
      <c r="AI845" s="11" t="s">
        <v>46</v>
      </c>
      <c r="AJ845" s="25">
        <f t="shared" si="839"/>
        <v>0</v>
      </c>
      <c r="AK845" s="25">
        <f t="shared" si="840"/>
        <v>0</v>
      </c>
      <c r="AL845" s="25">
        <f t="shared" si="841"/>
        <v>0</v>
      </c>
      <c r="AN845" s="25">
        <v>21</v>
      </c>
      <c r="AO845" s="25">
        <f>G845*0.569875614</f>
        <v>0</v>
      </c>
      <c r="AP845" s="25">
        <f>G845*(1-0.569875614)</f>
        <v>0</v>
      </c>
      <c r="AQ845" s="27" t="s">
        <v>58</v>
      </c>
      <c r="AV845" s="25">
        <f t="shared" si="842"/>
        <v>0</v>
      </c>
      <c r="AW845" s="25">
        <f t="shared" si="843"/>
        <v>0</v>
      </c>
      <c r="AX845" s="25">
        <f t="shared" si="844"/>
        <v>0</v>
      </c>
      <c r="AY845" s="27" t="s">
        <v>2450</v>
      </c>
      <c r="AZ845" s="27" t="s">
        <v>305</v>
      </c>
      <c r="BA845" s="11" t="s">
        <v>56</v>
      </c>
      <c r="BC845" s="25">
        <f t="shared" si="845"/>
        <v>0</v>
      </c>
      <c r="BD845" s="25">
        <f t="shared" si="846"/>
        <v>0</v>
      </c>
      <c r="BE845" s="25">
        <v>0</v>
      </c>
      <c r="BF845" s="25">
        <f>845</f>
        <v>845</v>
      </c>
      <c r="BH845" s="25">
        <f t="shared" si="847"/>
        <v>0</v>
      </c>
      <c r="BI845" s="25">
        <f t="shared" si="848"/>
        <v>0</v>
      </c>
      <c r="BJ845" s="25">
        <f t="shared" si="849"/>
        <v>0</v>
      </c>
      <c r="BK845" s="27" t="s">
        <v>57</v>
      </c>
      <c r="BL845" s="25"/>
      <c r="BW845" s="25">
        <v>21</v>
      </c>
      <c r="BX845" s="5" t="s">
        <v>2492</v>
      </c>
    </row>
    <row r="846" spans="1:76" x14ac:dyDescent="0.25">
      <c r="A846" s="2" t="s">
        <v>2493</v>
      </c>
      <c r="B846" s="3" t="s">
        <v>2494</v>
      </c>
      <c r="C846" s="93" t="s">
        <v>2495</v>
      </c>
      <c r="D846" s="94"/>
      <c r="E846" s="3" t="s">
        <v>131</v>
      </c>
      <c r="F846" s="25">
        <v>85</v>
      </c>
      <c r="G846" s="25">
        <v>0</v>
      </c>
      <c r="H846" s="25">
        <f t="shared" si="828"/>
        <v>0</v>
      </c>
      <c r="I846" s="25">
        <f t="shared" si="829"/>
        <v>0</v>
      </c>
      <c r="J846" s="25">
        <f t="shared" si="830"/>
        <v>0</v>
      </c>
      <c r="K846" s="26" t="s">
        <v>53</v>
      </c>
      <c r="Z846" s="25">
        <f t="shared" si="831"/>
        <v>0</v>
      </c>
      <c r="AB846" s="25">
        <f t="shared" si="832"/>
        <v>0</v>
      </c>
      <c r="AC846" s="25">
        <f t="shared" si="833"/>
        <v>0</v>
      </c>
      <c r="AD846" s="25">
        <f t="shared" si="834"/>
        <v>0</v>
      </c>
      <c r="AE846" s="25">
        <f t="shared" si="835"/>
        <v>0</v>
      </c>
      <c r="AF846" s="25">
        <f t="shared" si="836"/>
        <v>0</v>
      </c>
      <c r="AG846" s="25">
        <f t="shared" si="837"/>
        <v>0</v>
      </c>
      <c r="AH846" s="25">
        <f t="shared" si="838"/>
        <v>0</v>
      </c>
      <c r="AI846" s="11" t="s">
        <v>46</v>
      </c>
      <c r="AJ846" s="25">
        <f t="shared" si="839"/>
        <v>0</v>
      </c>
      <c r="AK846" s="25">
        <f t="shared" si="840"/>
        <v>0</v>
      </c>
      <c r="AL846" s="25">
        <f t="shared" si="841"/>
        <v>0</v>
      </c>
      <c r="AN846" s="25">
        <v>21</v>
      </c>
      <c r="AO846" s="25">
        <f>G846*0.569996077</f>
        <v>0</v>
      </c>
      <c r="AP846" s="25">
        <f>G846*(1-0.569996077)</f>
        <v>0</v>
      </c>
      <c r="AQ846" s="27" t="s">
        <v>58</v>
      </c>
      <c r="AV846" s="25">
        <f t="shared" si="842"/>
        <v>0</v>
      </c>
      <c r="AW846" s="25">
        <f t="shared" si="843"/>
        <v>0</v>
      </c>
      <c r="AX846" s="25">
        <f t="shared" si="844"/>
        <v>0</v>
      </c>
      <c r="AY846" s="27" t="s">
        <v>2450</v>
      </c>
      <c r="AZ846" s="27" t="s">
        <v>305</v>
      </c>
      <c r="BA846" s="11" t="s">
        <v>56</v>
      </c>
      <c r="BC846" s="25">
        <f t="shared" si="845"/>
        <v>0</v>
      </c>
      <c r="BD846" s="25">
        <f t="shared" si="846"/>
        <v>0</v>
      </c>
      <c r="BE846" s="25">
        <v>0</v>
      </c>
      <c r="BF846" s="25">
        <f>846</f>
        <v>846</v>
      </c>
      <c r="BH846" s="25">
        <f t="shared" si="847"/>
        <v>0</v>
      </c>
      <c r="BI846" s="25">
        <f t="shared" si="848"/>
        <v>0</v>
      </c>
      <c r="BJ846" s="25">
        <f t="shared" si="849"/>
        <v>0</v>
      </c>
      <c r="BK846" s="27" t="s">
        <v>57</v>
      </c>
      <c r="BL846" s="25"/>
      <c r="BW846" s="25">
        <v>21</v>
      </c>
      <c r="BX846" s="5" t="s">
        <v>2495</v>
      </c>
    </row>
    <row r="847" spans="1:76" x14ac:dyDescent="0.25">
      <c r="A847" s="2" t="s">
        <v>2496</v>
      </c>
      <c r="B847" s="3" t="s">
        <v>2497</v>
      </c>
      <c r="C847" s="93" t="s">
        <v>2498</v>
      </c>
      <c r="D847" s="94"/>
      <c r="E847" s="3" t="s">
        <v>131</v>
      </c>
      <c r="F847" s="25">
        <v>75</v>
      </c>
      <c r="G847" s="25">
        <v>0</v>
      </c>
      <c r="H847" s="25">
        <f t="shared" si="828"/>
        <v>0</v>
      </c>
      <c r="I847" s="25">
        <f t="shared" si="829"/>
        <v>0</v>
      </c>
      <c r="J847" s="25">
        <f t="shared" si="830"/>
        <v>0</v>
      </c>
      <c r="K847" s="26" t="s">
        <v>53</v>
      </c>
      <c r="Z847" s="25">
        <f t="shared" si="831"/>
        <v>0</v>
      </c>
      <c r="AB847" s="25">
        <f t="shared" si="832"/>
        <v>0</v>
      </c>
      <c r="AC847" s="25">
        <f t="shared" si="833"/>
        <v>0</v>
      </c>
      <c r="AD847" s="25">
        <f t="shared" si="834"/>
        <v>0</v>
      </c>
      <c r="AE847" s="25">
        <f t="shared" si="835"/>
        <v>0</v>
      </c>
      <c r="AF847" s="25">
        <f t="shared" si="836"/>
        <v>0</v>
      </c>
      <c r="AG847" s="25">
        <f t="shared" si="837"/>
        <v>0</v>
      </c>
      <c r="AH847" s="25">
        <f t="shared" si="838"/>
        <v>0</v>
      </c>
      <c r="AI847" s="11" t="s">
        <v>46</v>
      </c>
      <c r="AJ847" s="25">
        <f t="shared" si="839"/>
        <v>0</v>
      </c>
      <c r="AK847" s="25">
        <f t="shared" si="840"/>
        <v>0</v>
      </c>
      <c r="AL847" s="25">
        <f t="shared" si="841"/>
        <v>0</v>
      </c>
      <c r="AN847" s="25">
        <v>21</v>
      </c>
      <c r="AO847" s="25">
        <f>G847*0.569980645</f>
        <v>0</v>
      </c>
      <c r="AP847" s="25">
        <f>G847*(1-0.569980645)</f>
        <v>0</v>
      </c>
      <c r="AQ847" s="27" t="s">
        <v>58</v>
      </c>
      <c r="AV847" s="25">
        <f t="shared" si="842"/>
        <v>0</v>
      </c>
      <c r="AW847" s="25">
        <f t="shared" si="843"/>
        <v>0</v>
      </c>
      <c r="AX847" s="25">
        <f t="shared" si="844"/>
        <v>0</v>
      </c>
      <c r="AY847" s="27" t="s">
        <v>2450</v>
      </c>
      <c r="AZ847" s="27" t="s">
        <v>305</v>
      </c>
      <c r="BA847" s="11" t="s">
        <v>56</v>
      </c>
      <c r="BC847" s="25">
        <f t="shared" si="845"/>
        <v>0</v>
      </c>
      <c r="BD847" s="25">
        <f t="shared" si="846"/>
        <v>0</v>
      </c>
      <c r="BE847" s="25">
        <v>0</v>
      </c>
      <c r="BF847" s="25">
        <f>847</f>
        <v>847</v>
      </c>
      <c r="BH847" s="25">
        <f t="shared" si="847"/>
        <v>0</v>
      </c>
      <c r="BI847" s="25">
        <f t="shared" si="848"/>
        <v>0</v>
      </c>
      <c r="BJ847" s="25">
        <f t="shared" si="849"/>
        <v>0</v>
      </c>
      <c r="BK847" s="27" t="s">
        <v>57</v>
      </c>
      <c r="BL847" s="25"/>
      <c r="BW847" s="25">
        <v>21</v>
      </c>
      <c r="BX847" s="5" t="s">
        <v>2498</v>
      </c>
    </row>
    <row r="848" spans="1:76" x14ac:dyDescent="0.25">
      <c r="A848" s="2" t="s">
        <v>2499</v>
      </c>
      <c r="B848" s="3" t="s">
        <v>2500</v>
      </c>
      <c r="C848" s="93" t="s">
        <v>2186</v>
      </c>
      <c r="D848" s="94"/>
      <c r="E848" s="3" t="s">
        <v>131</v>
      </c>
      <c r="F848" s="25">
        <v>150</v>
      </c>
      <c r="G848" s="25">
        <v>0</v>
      </c>
      <c r="H848" s="25">
        <f t="shared" si="828"/>
        <v>0</v>
      </c>
      <c r="I848" s="25">
        <f t="shared" si="829"/>
        <v>0</v>
      </c>
      <c r="J848" s="25">
        <f t="shared" si="830"/>
        <v>0</v>
      </c>
      <c r="K848" s="26" t="s">
        <v>53</v>
      </c>
      <c r="Z848" s="25">
        <f t="shared" si="831"/>
        <v>0</v>
      </c>
      <c r="AB848" s="25">
        <f t="shared" si="832"/>
        <v>0</v>
      </c>
      <c r="AC848" s="25">
        <f t="shared" si="833"/>
        <v>0</v>
      </c>
      <c r="AD848" s="25">
        <f t="shared" si="834"/>
        <v>0</v>
      </c>
      <c r="AE848" s="25">
        <f t="shared" si="835"/>
        <v>0</v>
      </c>
      <c r="AF848" s="25">
        <f t="shared" si="836"/>
        <v>0</v>
      </c>
      <c r="AG848" s="25">
        <f t="shared" si="837"/>
        <v>0</v>
      </c>
      <c r="AH848" s="25">
        <f t="shared" si="838"/>
        <v>0</v>
      </c>
      <c r="AI848" s="11" t="s">
        <v>46</v>
      </c>
      <c r="AJ848" s="25">
        <f t="shared" si="839"/>
        <v>0</v>
      </c>
      <c r="AK848" s="25">
        <f t="shared" si="840"/>
        <v>0</v>
      </c>
      <c r="AL848" s="25">
        <f t="shared" si="841"/>
        <v>0</v>
      </c>
      <c r="AN848" s="25">
        <v>21</v>
      </c>
      <c r="AO848" s="25">
        <f>G848*0.569979386</f>
        <v>0</v>
      </c>
      <c r="AP848" s="25">
        <f>G848*(1-0.569979386)</f>
        <v>0</v>
      </c>
      <c r="AQ848" s="27" t="s">
        <v>58</v>
      </c>
      <c r="AV848" s="25">
        <f t="shared" si="842"/>
        <v>0</v>
      </c>
      <c r="AW848" s="25">
        <f t="shared" si="843"/>
        <v>0</v>
      </c>
      <c r="AX848" s="25">
        <f t="shared" si="844"/>
        <v>0</v>
      </c>
      <c r="AY848" s="27" t="s">
        <v>2450</v>
      </c>
      <c r="AZ848" s="27" t="s">
        <v>305</v>
      </c>
      <c r="BA848" s="11" t="s">
        <v>56</v>
      </c>
      <c r="BC848" s="25">
        <f t="shared" si="845"/>
        <v>0</v>
      </c>
      <c r="BD848" s="25">
        <f t="shared" si="846"/>
        <v>0</v>
      </c>
      <c r="BE848" s="25">
        <v>0</v>
      </c>
      <c r="BF848" s="25">
        <f>848</f>
        <v>848</v>
      </c>
      <c r="BH848" s="25">
        <f t="shared" si="847"/>
        <v>0</v>
      </c>
      <c r="BI848" s="25">
        <f t="shared" si="848"/>
        <v>0</v>
      </c>
      <c r="BJ848" s="25">
        <f t="shared" si="849"/>
        <v>0</v>
      </c>
      <c r="BK848" s="27" t="s">
        <v>57</v>
      </c>
      <c r="BL848" s="25"/>
      <c r="BW848" s="25">
        <v>21</v>
      </c>
      <c r="BX848" s="5" t="s">
        <v>2186</v>
      </c>
    </row>
    <row r="849" spans="1:76" x14ac:dyDescent="0.25">
      <c r="A849" s="2" t="s">
        <v>2501</v>
      </c>
      <c r="B849" s="3" t="s">
        <v>2502</v>
      </c>
      <c r="C849" s="93" t="s">
        <v>2503</v>
      </c>
      <c r="D849" s="94"/>
      <c r="E849" s="3" t="s">
        <v>52</v>
      </c>
      <c r="F849" s="25">
        <v>10</v>
      </c>
      <c r="G849" s="25">
        <v>0</v>
      </c>
      <c r="H849" s="25">
        <f t="shared" si="828"/>
        <v>0</v>
      </c>
      <c r="I849" s="25">
        <f t="shared" si="829"/>
        <v>0</v>
      </c>
      <c r="J849" s="25">
        <f t="shared" si="830"/>
        <v>0</v>
      </c>
      <c r="K849" s="26" t="s">
        <v>53</v>
      </c>
      <c r="Z849" s="25">
        <f t="shared" si="831"/>
        <v>0</v>
      </c>
      <c r="AB849" s="25">
        <f t="shared" si="832"/>
        <v>0</v>
      </c>
      <c r="AC849" s="25">
        <f t="shared" si="833"/>
        <v>0</v>
      </c>
      <c r="AD849" s="25">
        <f t="shared" si="834"/>
        <v>0</v>
      </c>
      <c r="AE849" s="25">
        <f t="shared" si="835"/>
        <v>0</v>
      </c>
      <c r="AF849" s="25">
        <f t="shared" si="836"/>
        <v>0</v>
      </c>
      <c r="AG849" s="25">
        <f t="shared" si="837"/>
        <v>0</v>
      </c>
      <c r="AH849" s="25">
        <f t="shared" si="838"/>
        <v>0</v>
      </c>
      <c r="AI849" s="11" t="s">
        <v>46</v>
      </c>
      <c r="AJ849" s="25">
        <f t="shared" si="839"/>
        <v>0</v>
      </c>
      <c r="AK849" s="25">
        <f t="shared" si="840"/>
        <v>0</v>
      </c>
      <c r="AL849" s="25">
        <f t="shared" si="841"/>
        <v>0</v>
      </c>
      <c r="AN849" s="25">
        <v>21</v>
      </c>
      <c r="AO849" s="25">
        <f>G849*0.570003361</f>
        <v>0</v>
      </c>
      <c r="AP849" s="25">
        <f>G849*(1-0.570003361)</f>
        <v>0</v>
      </c>
      <c r="AQ849" s="27" t="s">
        <v>58</v>
      </c>
      <c r="AV849" s="25">
        <f t="shared" si="842"/>
        <v>0</v>
      </c>
      <c r="AW849" s="25">
        <f t="shared" si="843"/>
        <v>0</v>
      </c>
      <c r="AX849" s="25">
        <f t="shared" si="844"/>
        <v>0</v>
      </c>
      <c r="AY849" s="27" t="s">
        <v>2450</v>
      </c>
      <c r="AZ849" s="27" t="s">
        <v>305</v>
      </c>
      <c r="BA849" s="11" t="s">
        <v>56</v>
      </c>
      <c r="BC849" s="25">
        <f t="shared" si="845"/>
        <v>0</v>
      </c>
      <c r="BD849" s="25">
        <f t="shared" si="846"/>
        <v>0</v>
      </c>
      <c r="BE849" s="25">
        <v>0</v>
      </c>
      <c r="BF849" s="25">
        <f>849</f>
        <v>849</v>
      </c>
      <c r="BH849" s="25">
        <f t="shared" si="847"/>
        <v>0</v>
      </c>
      <c r="BI849" s="25">
        <f t="shared" si="848"/>
        <v>0</v>
      </c>
      <c r="BJ849" s="25">
        <f t="shared" si="849"/>
        <v>0</v>
      </c>
      <c r="BK849" s="27" t="s">
        <v>57</v>
      </c>
      <c r="BL849" s="25"/>
      <c r="BW849" s="25">
        <v>21</v>
      </c>
      <c r="BX849" s="5" t="s">
        <v>2503</v>
      </c>
    </row>
    <row r="850" spans="1:76" x14ac:dyDescent="0.25">
      <c r="A850" s="2" t="s">
        <v>2504</v>
      </c>
      <c r="B850" s="3" t="s">
        <v>2505</v>
      </c>
      <c r="C850" s="93" t="s">
        <v>2506</v>
      </c>
      <c r="D850" s="94"/>
      <c r="E850" s="3" t="s">
        <v>131</v>
      </c>
      <c r="F850" s="25">
        <v>80</v>
      </c>
      <c r="G850" s="25">
        <v>0</v>
      </c>
      <c r="H850" s="25">
        <f t="shared" si="828"/>
        <v>0</v>
      </c>
      <c r="I850" s="25">
        <f t="shared" si="829"/>
        <v>0</v>
      </c>
      <c r="J850" s="25">
        <f t="shared" si="830"/>
        <v>0</v>
      </c>
      <c r="K850" s="26" t="s">
        <v>53</v>
      </c>
      <c r="Z850" s="25">
        <f t="shared" si="831"/>
        <v>0</v>
      </c>
      <c r="AB850" s="25">
        <f t="shared" si="832"/>
        <v>0</v>
      </c>
      <c r="AC850" s="25">
        <f t="shared" si="833"/>
        <v>0</v>
      </c>
      <c r="AD850" s="25">
        <f t="shared" si="834"/>
        <v>0</v>
      </c>
      <c r="AE850" s="25">
        <f t="shared" si="835"/>
        <v>0</v>
      </c>
      <c r="AF850" s="25">
        <f t="shared" si="836"/>
        <v>0</v>
      </c>
      <c r="AG850" s="25">
        <f t="shared" si="837"/>
        <v>0</v>
      </c>
      <c r="AH850" s="25">
        <f t="shared" si="838"/>
        <v>0</v>
      </c>
      <c r="AI850" s="11" t="s">
        <v>46</v>
      </c>
      <c r="AJ850" s="25">
        <f t="shared" si="839"/>
        <v>0</v>
      </c>
      <c r="AK850" s="25">
        <f t="shared" si="840"/>
        <v>0</v>
      </c>
      <c r="AL850" s="25">
        <f t="shared" si="841"/>
        <v>0</v>
      </c>
      <c r="AN850" s="25">
        <v>21</v>
      </c>
      <c r="AO850" s="25">
        <f>G850*0.570001236</f>
        <v>0</v>
      </c>
      <c r="AP850" s="25">
        <f>G850*(1-0.570001236)</f>
        <v>0</v>
      </c>
      <c r="AQ850" s="27" t="s">
        <v>58</v>
      </c>
      <c r="AV850" s="25">
        <f t="shared" si="842"/>
        <v>0</v>
      </c>
      <c r="AW850" s="25">
        <f t="shared" si="843"/>
        <v>0</v>
      </c>
      <c r="AX850" s="25">
        <f t="shared" si="844"/>
        <v>0</v>
      </c>
      <c r="AY850" s="27" t="s">
        <v>2450</v>
      </c>
      <c r="AZ850" s="27" t="s">
        <v>305</v>
      </c>
      <c r="BA850" s="11" t="s">
        <v>56</v>
      </c>
      <c r="BC850" s="25">
        <f t="shared" si="845"/>
        <v>0</v>
      </c>
      <c r="BD850" s="25">
        <f t="shared" si="846"/>
        <v>0</v>
      </c>
      <c r="BE850" s="25">
        <v>0</v>
      </c>
      <c r="BF850" s="25">
        <f>850</f>
        <v>850</v>
      </c>
      <c r="BH850" s="25">
        <f t="shared" si="847"/>
        <v>0</v>
      </c>
      <c r="BI850" s="25">
        <f t="shared" si="848"/>
        <v>0</v>
      </c>
      <c r="BJ850" s="25">
        <f t="shared" si="849"/>
        <v>0</v>
      </c>
      <c r="BK850" s="27" t="s">
        <v>57</v>
      </c>
      <c r="BL850" s="25"/>
      <c r="BW850" s="25">
        <v>21</v>
      </c>
      <c r="BX850" s="5" t="s">
        <v>2506</v>
      </c>
    </row>
    <row r="851" spans="1:76" x14ac:dyDescent="0.25">
      <c r="A851" s="2" t="s">
        <v>2507</v>
      </c>
      <c r="B851" s="3" t="s">
        <v>2508</v>
      </c>
      <c r="C851" s="93" t="s">
        <v>2509</v>
      </c>
      <c r="D851" s="94"/>
      <c r="E851" s="3" t="s">
        <v>131</v>
      </c>
      <c r="F851" s="25">
        <v>15</v>
      </c>
      <c r="G851" s="25">
        <v>0</v>
      </c>
      <c r="H851" s="25">
        <f t="shared" si="828"/>
        <v>0</v>
      </c>
      <c r="I851" s="25">
        <f t="shared" si="829"/>
        <v>0</v>
      </c>
      <c r="J851" s="25">
        <f t="shared" si="830"/>
        <v>0</v>
      </c>
      <c r="K851" s="26" t="s">
        <v>53</v>
      </c>
      <c r="Z851" s="25">
        <f t="shared" si="831"/>
        <v>0</v>
      </c>
      <c r="AB851" s="25">
        <f t="shared" si="832"/>
        <v>0</v>
      </c>
      <c r="AC851" s="25">
        <f t="shared" si="833"/>
        <v>0</v>
      </c>
      <c r="AD851" s="25">
        <f t="shared" si="834"/>
        <v>0</v>
      </c>
      <c r="AE851" s="25">
        <f t="shared" si="835"/>
        <v>0</v>
      </c>
      <c r="AF851" s="25">
        <f t="shared" si="836"/>
        <v>0</v>
      </c>
      <c r="AG851" s="25">
        <f t="shared" si="837"/>
        <v>0</v>
      </c>
      <c r="AH851" s="25">
        <f t="shared" si="838"/>
        <v>0</v>
      </c>
      <c r="AI851" s="11" t="s">
        <v>46</v>
      </c>
      <c r="AJ851" s="25">
        <f t="shared" si="839"/>
        <v>0</v>
      </c>
      <c r="AK851" s="25">
        <f t="shared" si="840"/>
        <v>0</v>
      </c>
      <c r="AL851" s="25">
        <f t="shared" si="841"/>
        <v>0</v>
      </c>
      <c r="AN851" s="25">
        <v>21</v>
      </c>
      <c r="AO851" s="25">
        <f>G851*0.569966846</f>
        <v>0</v>
      </c>
      <c r="AP851" s="25">
        <f>G851*(1-0.569966846)</f>
        <v>0</v>
      </c>
      <c r="AQ851" s="27" t="s">
        <v>58</v>
      </c>
      <c r="AV851" s="25">
        <f t="shared" si="842"/>
        <v>0</v>
      </c>
      <c r="AW851" s="25">
        <f t="shared" si="843"/>
        <v>0</v>
      </c>
      <c r="AX851" s="25">
        <f t="shared" si="844"/>
        <v>0</v>
      </c>
      <c r="AY851" s="27" t="s">
        <v>2450</v>
      </c>
      <c r="AZ851" s="27" t="s">
        <v>305</v>
      </c>
      <c r="BA851" s="11" t="s">
        <v>56</v>
      </c>
      <c r="BC851" s="25">
        <f t="shared" si="845"/>
        <v>0</v>
      </c>
      <c r="BD851" s="25">
        <f t="shared" si="846"/>
        <v>0</v>
      </c>
      <c r="BE851" s="25">
        <v>0</v>
      </c>
      <c r="BF851" s="25">
        <f>851</f>
        <v>851</v>
      </c>
      <c r="BH851" s="25">
        <f t="shared" si="847"/>
        <v>0</v>
      </c>
      <c r="BI851" s="25">
        <f t="shared" si="848"/>
        <v>0</v>
      </c>
      <c r="BJ851" s="25">
        <f t="shared" si="849"/>
        <v>0</v>
      </c>
      <c r="BK851" s="27" t="s">
        <v>57</v>
      </c>
      <c r="BL851" s="25"/>
      <c r="BW851" s="25">
        <v>21</v>
      </c>
      <c r="BX851" s="5" t="s">
        <v>2509</v>
      </c>
    </row>
    <row r="852" spans="1:76" x14ac:dyDescent="0.25">
      <c r="A852" s="2" t="s">
        <v>2510</v>
      </c>
      <c r="B852" s="3" t="s">
        <v>2511</v>
      </c>
      <c r="C852" s="93" t="s">
        <v>2282</v>
      </c>
      <c r="D852" s="94"/>
      <c r="E852" s="3" t="s">
        <v>52</v>
      </c>
      <c r="F852" s="25">
        <v>1</v>
      </c>
      <c r="G852" s="25">
        <v>0</v>
      </c>
      <c r="H852" s="25">
        <f t="shared" si="828"/>
        <v>0</v>
      </c>
      <c r="I852" s="25">
        <f t="shared" si="829"/>
        <v>0</v>
      </c>
      <c r="J852" s="25">
        <f t="shared" si="830"/>
        <v>0</v>
      </c>
      <c r="K852" s="26" t="s">
        <v>53</v>
      </c>
      <c r="Z852" s="25">
        <f t="shared" si="831"/>
        <v>0</v>
      </c>
      <c r="AB852" s="25">
        <f t="shared" si="832"/>
        <v>0</v>
      </c>
      <c r="AC852" s="25">
        <f t="shared" si="833"/>
        <v>0</v>
      </c>
      <c r="AD852" s="25">
        <f t="shared" si="834"/>
        <v>0</v>
      </c>
      <c r="AE852" s="25">
        <f t="shared" si="835"/>
        <v>0</v>
      </c>
      <c r="AF852" s="25">
        <f t="shared" si="836"/>
        <v>0</v>
      </c>
      <c r="AG852" s="25">
        <f t="shared" si="837"/>
        <v>0</v>
      </c>
      <c r="AH852" s="25">
        <f t="shared" si="838"/>
        <v>0</v>
      </c>
      <c r="AI852" s="11" t="s">
        <v>46</v>
      </c>
      <c r="AJ852" s="25">
        <f t="shared" si="839"/>
        <v>0</v>
      </c>
      <c r="AK852" s="25">
        <f t="shared" si="840"/>
        <v>0</v>
      </c>
      <c r="AL852" s="25">
        <f t="shared" si="841"/>
        <v>0</v>
      </c>
      <c r="AN852" s="25">
        <v>21</v>
      </c>
      <c r="AO852" s="25">
        <f t="shared" ref="AO852:AO860" si="850">G852*0</f>
        <v>0</v>
      </c>
      <c r="AP852" s="25">
        <f t="shared" ref="AP852:AP860" si="851">G852*(1-0)</f>
        <v>0</v>
      </c>
      <c r="AQ852" s="27" t="s">
        <v>58</v>
      </c>
      <c r="AV852" s="25">
        <f t="shared" si="842"/>
        <v>0</v>
      </c>
      <c r="AW852" s="25">
        <f t="shared" si="843"/>
        <v>0</v>
      </c>
      <c r="AX852" s="25">
        <f t="shared" si="844"/>
        <v>0</v>
      </c>
      <c r="AY852" s="27" t="s">
        <v>2450</v>
      </c>
      <c r="AZ852" s="27" t="s">
        <v>305</v>
      </c>
      <c r="BA852" s="11" t="s">
        <v>56</v>
      </c>
      <c r="BC852" s="25">
        <f t="shared" si="845"/>
        <v>0</v>
      </c>
      <c r="BD852" s="25">
        <f t="shared" si="846"/>
        <v>0</v>
      </c>
      <c r="BE852" s="25">
        <v>0</v>
      </c>
      <c r="BF852" s="25">
        <f>852</f>
        <v>852</v>
      </c>
      <c r="BH852" s="25">
        <f t="shared" si="847"/>
        <v>0</v>
      </c>
      <c r="BI852" s="25">
        <f t="shared" si="848"/>
        <v>0</v>
      </c>
      <c r="BJ852" s="25">
        <f t="shared" si="849"/>
        <v>0</v>
      </c>
      <c r="BK852" s="27" t="s">
        <v>57</v>
      </c>
      <c r="BL852" s="25"/>
      <c r="BW852" s="25">
        <v>21</v>
      </c>
      <c r="BX852" s="5" t="s">
        <v>2282</v>
      </c>
    </row>
    <row r="853" spans="1:76" x14ac:dyDescent="0.25">
      <c r="A853" s="2" t="s">
        <v>2512</v>
      </c>
      <c r="B853" s="3" t="s">
        <v>2513</v>
      </c>
      <c r="C853" s="93" t="s">
        <v>2514</v>
      </c>
      <c r="D853" s="94"/>
      <c r="E853" s="3" t="s">
        <v>52</v>
      </c>
      <c r="F853" s="25">
        <v>1</v>
      </c>
      <c r="G853" s="25">
        <v>0</v>
      </c>
      <c r="H853" s="25">
        <f t="shared" si="828"/>
        <v>0</v>
      </c>
      <c r="I853" s="25">
        <f t="shared" si="829"/>
        <v>0</v>
      </c>
      <c r="J853" s="25">
        <f t="shared" si="830"/>
        <v>0</v>
      </c>
      <c r="K853" s="26" t="s">
        <v>53</v>
      </c>
      <c r="Z853" s="25">
        <f t="shared" si="831"/>
        <v>0</v>
      </c>
      <c r="AB853" s="25">
        <f t="shared" si="832"/>
        <v>0</v>
      </c>
      <c r="AC853" s="25">
        <f t="shared" si="833"/>
        <v>0</v>
      </c>
      <c r="AD853" s="25">
        <f t="shared" si="834"/>
        <v>0</v>
      </c>
      <c r="AE853" s="25">
        <f t="shared" si="835"/>
        <v>0</v>
      </c>
      <c r="AF853" s="25">
        <f t="shared" si="836"/>
        <v>0</v>
      </c>
      <c r="AG853" s="25">
        <f t="shared" si="837"/>
        <v>0</v>
      </c>
      <c r="AH853" s="25">
        <f t="shared" si="838"/>
        <v>0</v>
      </c>
      <c r="AI853" s="11" t="s">
        <v>46</v>
      </c>
      <c r="AJ853" s="25">
        <f t="shared" si="839"/>
        <v>0</v>
      </c>
      <c r="AK853" s="25">
        <f t="shared" si="840"/>
        <v>0</v>
      </c>
      <c r="AL853" s="25">
        <f t="shared" si="841"/>
        <v>0</v>
      </c>
      <c r="AN853" s="25">
        <v>21</v>
      </c>
      <c r="AO853" s="25">
        <f t="shared" si="850"/>
        <v>0</v>
      </c>
      <c r="AP853" s="25">
        <f t="shared" si="851"/>
        <v>0</v>
      </c>
      <c r="AQ853" s="27" t="s">
        <v>58</v>
      </c>
      <c r="AV853" s="25">
        <f t="shared" si="842"/>
        <v>0</v>
      </c>
      <c r="AW853" s="25">
        <f t="shared" si="843"/>
        <v>0</v>
      </c>
      <c r="AX853" s="25">
        <f t="shared" si="844"/>
        <v>0</v>
      </c>
      <c r="AY853" s="27" t="s">
        <v>2450</v>
      </c>
      <c r="AZ853" s="27" t="s">
        <v>305</v>
      </c>
      <c r="BA853" s="11" t="s">
        <v>56</v>
      </c>
      <c r="BC853" s="25">
        <f t="shared" si="845"/>
        <v>0</v>
      </c>
      <c r="BD853" s="25">
        <f t="shared" si="846"/>
        <v>0</v>
      </c>
      <c r="BE853" s="25">
        <v>0</v>
      </c>
      <c r="BF853" s="25">
        <f>853</f>
        <v>853</v>
      </c>
      <c r="BH853" s="25">
        <f t="shared" si="847"/>
        <v>0</v>
      </c>
      <c r="BI853" s="25">
        <f t="shared" si="848"/>
        <v>0</v>
      </c>
      <c r="BJ853" s="25">
        <f t="shared" si="849"/>
        <v>0</v>
      </c>
      <c r="BK853" s="27" t="s">
        <v>57</v>
      </c>
      <c r="BL853" s="25"/>
      <c r="BW853" s="25">
        <v>21</v>
      </c>
      <c r="BX853" s="5" t="s">
        <v>2514</v>
      </c>
    </row>
    <row r="854" spans="1:76" x14ac:dyDescent="0.25">
      <c r="A854" s="2" t="s">
        <v>2515</v>
      </c>
      <c r="B854" s="3" t="s">
        <v>2516</v>
      </c>
      <c r="C854" s="93" t="s">
        <v>2517</v>
      </c>
      <c r="D854" s="94"/>
      <c r="E854" s="3" t="s">
        <v>52</v>
      </c>
      <c r="F854" s="25">
        <v>1</v>
      </c>
      <c r="G854" s="25">
        <v>0</v>
      </c>
      <c r="H854" s="25">
        <f t="shared" si="828"/>
        <v>0</v>
      </c>
      <c r="I854" s="25">
        <f t="shared" si="829"/>
        <v>0</v>
      </c>
      <c r="J854" s="25">
        <f t="shared" si="830"/>
        <v>0</v>
      </c>
      <c r="K854" s="26" t="s">
        <v>53</v>
      </c>
      <c r="Z854" s="25">
        <f t="shared" si="831"/>
        <v>0</v>
      </c>
      <c r="AB854" s="25">
        <f t="shared" si="832"/>
        <v>0</v>
      </c>
      <c r="AC854" s="25">
        <f t="shared" si="833"/>
        <v>0</v>
      </c>
      <c r="AD854" s="25">
        <f t="shared" si="834"/>
        <v>0</v>
      </c>
      <c r="AE854" s="25">
        <f t="shared" si="835"/>
        <v>0</v>
      </c>
      <c r="AF854" s="25">
        <f t="shared" si="836"/>
        <v>0</v>
      </c>
      <c r="AG854" s="25">
        <f t="shared" si="837"/>
        <v>0</v>
      </c>
      <c r="AH854" s="25">
        <f t="shared" si="838"/>
        <v>0</v>
      </c>
      <c r="AI854" s="11" t="s">
        <v>46</v>
      </c>
      <c r="AJ854" s="25">
        <f t="shared" si="839"/>
        <v>0</v>
      </c>
      <c r="AK854" s="25">
        <f t="shared" si="840"/>
        <v>0</v>
      </c>
      <c r="AL854" s="25">
        <f t="shared" si="841"/>
        <v>0</v>
      </c>
      <c r="AN854" s="25">
        <v>21</v>
      </c>
      <c r="AO854" s="25">
        <f t="shared" si="850"/>
        <v>0</v>
      </c>
      <c r="AP854" s="25">
        <f t="shared" si="851"/>
        <v>0</v>
      </c>
      <c r="AQ854" s="27" t="s">
        <v>58</v>
      </c>
      <c r="AV854" s="25">
        <f t="shared" si="842"/>
        <v>0</v>
      </c>
      <c r="AW854" s="25">
        <f t="shared" si="843"/>
        <v>0</v>
      </c>
      <c r="AX854" s="25">
        <f t="shared" si="844"/>
        <v>0</v>
      </c>
      <c r="AY854" s="27" t="s">
        <v>2450</v>
      </c>
      <c r="AZ854" s="27" t="s">
        <v>305</v>
      </c>
      <c r="BA854" s="11" t="s">
        <v>56</v>
      </c>
      <c r="BC854" s="25">
        <f t="shared" si="845"/>
        <v>0</v>
      </c>
      <c r="BD854" s="25">
        <f t="shared" si="846"/>
        <v>0</v>
      </c>
      <c r="BE854" s="25">
        <v>0</v>
      </c>
      <c r="BF854" s="25">
        <f>854</f>
        <v>854</v>
      </c>
      <c r="BH854" s="25">
        <f t="shared" si="847"/>
        <v>0</v>
      </c>
      <c r="BI854" s="25">
        <f t="shared" si="848"/>
        <v>0</v>
      </c>
      <c r="BJ854" s="25">
        <f t="shared" si="849"/>
        <v>0</v>
      </c>
      <c r="BK854" s="27" t="s">
        <v>57</v>
      </c>
      <c r="BL854" s="25"/>
      <c r="BW854" s="25">
        <v>21</v>
      </c>
      <c r="BX854" s="5" t="s">
        <v>2517</v>
      </c>
    </row>
    <row r="855" spans="1:76" x14ac:dyDescent="0.25">
      <c r="A855" s="2" t="s">
        <v>2518</v>
      </c>
      <c r="B855" s="3" t="s">
        <v>2519</v>
      </c>
      <c r="C855" s="93" t="s">
        <v>2520</v>
      </c>
      <c r="D855" s="94"/>
      <c r="E855" s="3" t="s">
        <v>52</v>
      </c>
      <c r="F855" s="25">
        <v>1</v>
      </c>
      <c r="G855" s="25">
        <v>0</v>
      </c>
      <c r="H855" s="25">
        <f t="shared" si="828"/>
        <v>0</v>
      </c>
      <c r="I855" s="25">
        <f t="shared" si="829"/>
        <v>0</v>
      </c>
      <c r="J855" s="25">
        <f t="shared" si="830"/>
        <v>0</v>
      </c>
      <c r="K855" s="26" t="s">
        <v>53</v>
      </c>
      <c r="Z855" s="25">
        <f t="shared" si="831"/>
        <v>0</v>
      </c>
      <c r="AB855" s="25">
        <f t="shared" si="832"/>
        <v>0</v>
      </c>
      <c r="AC855" s="25">
        <f t="shared" si="833"/>
        <v>0</v>
      </c>
      <c r="AD855" s="25">
        <f t="shared" si="834"/>
        <v>0</v>
      </c>
      <c r="AE855" s="25">
        <f t="shared" si="835"/>
        <v>0</v>
      </c>
      <c r="AF855" s="25">
        <f t="shared" si="836"/>
        <v>0</v>
      </c>
      <c r="AG855" s="25">
        <f t="shared" si="837"/>
        <v>0</v>
      </c>
      <c r="AH855" s="25">
        <f t="shared" si="838"/>
        <v>0</v>
      </c>
      <c r="AI855" s="11" t="s">
        <v>46</v>
      </c>
      <c r="AJ855" s="25">
        <f t="shared" si="839"/>
        <v>0</v>
      </c>
      <c r="AK855" s="25">
        <f t="shared" si="840"/>
        <v>0</v>
      </c>
      <c r="AL855" s="25">
        <f t="shared" si="841"/>
        <v>0</v>
      </c>
      <c r="AN855" s="25">
        <v>21</v>
      </c>
      <c r="AO855" s="25">
        <f t="shared" si="850"/>
        <v>0</v>
      </c>
      <c r="AP855" s="25">
        <f t="shared" si="851"/>
        <v>0</v>
      </c>
      <c r="AQ855" s="27" t="s">
        <v>58</v>
      </c>
      <c r="AV855" s="25">
        <f t="shared" si="842"/>
        <v>0</v>
      </c>
      <c r="AW855" s="25">
        <f t="shared" si="843"/>
        <v>0</v>
      </c>
      <c r="AX855" s="25">
        <f t="shared" si="844"/>
        <v>0</v>
      </c>
      <c r="AY855" s="27" t="s">
        <v>2450</v>
      </c>
      <c r="AZ855" s="27" t="s">
        <v>305</v>
      </c>
      <c r="BA855" s="11" t="s">
        <v>56</v>
      </c>
      <c r="BC855" s="25">
        <f t="shared" si="845"/>
        <v>0</v>
      </c>
      <c r="BD855" s="25">
        <f t="shared" si="846"/>
        <v>0</v>
      </c>
      <c r="BE855" s="25">
        <v>0</v>
      </c>
      <c r="BF855" s="25">
        <f>855</f>
        <v>855</v>
      </c>
      <c r="BH855" s="25">
        <f t="shared" si="847"/>
        <v>0</v>
      </c>
      <c r="BI855" s="25">
        <f t="shared" si="848"/>
        <v>0</v>
      </c>
      <c r="BJ855" s="25">
        <f t="shared" si="849"/>
        <v>0</v>
      </c>
      <c r="BK855" s="27" t="s">
        <v>57</v>
      </c>
      <c r="BL855" s="25"/>
      <c r="BW855" s="25">
        <v>21</v>
      </c>
      <c r="BX855" s="5" t="s">
        <v>2520</v>
      </c>
    </row>
    <row r="856" spans="1:76" x14ac:dyDescent="0.25">
      <c r="A856" s="2" t="s">
        <v>2521</v>
      </c>
      <c r="B856" s="3" t="s">
        <v>2522</v>
      </c>
      <c r="C856" s="93" t="s">
        <v>2288</v>
      </c>
      <c r="D856" s="94"/>
      <c r="E856" s="3" t="s">
        <v>52</v>
      </c>
      <c r="F856" s="25">
        <v>1</v>
      </c>
      <c r="G856" s="25">
        <v>0</v>
      </c>
      <c r="H856" s="25">
        <f t="shared" si="828"/>
        <v>0</v>
      </c>
      <c r="I856" s="25">
        <f t="shared" si="829"/>
        <v>0</v>
      </c>
      <c r="J856" s="25">
        <f t="shared" si="830"/>
        <v>0</v>
      </c>
      <c r="K856" s="26" t="s">
        <v>53</v>
      </c>
      <c r="Z856" s="25">
        <f t="shared" si="831"/>
        <v>0</v>
      </c>
      <c r="AB856" s="25">
        <f t="shared" si="832"/>
        <v>0</v>
      </c>
      <c r="AC856" s="25">
        <f t="shared" si="833"/>
        <v>0</v>
      </c>
      <c r="AD856" s="25">
        <f t="shared" si="834"/>
        <v>0</v>
      </c>
      <c r="AE856" s="25">
        <f t="shared" si="835"/>
        <v>0</v>
      </c>
      <c r="AF856" s="25">
        <f t="shared" si="836"/>
        <v>0</v>
      </c>
      <c r="AG856" s="25">
        <f t="shared" si="837"/>
        <v>0</v>
      </c>
      <c r="AH856" s="25">
        <f t="shared" si="838"/>
        <v>0</v>
      </c>
      <c r="AI856" s="11" t="s">
        <v>46</v>
      </c>
      <c r="AJ856" s="25">
        <f t="shared" si="839"/>
        <v>0</v>
      </c>
      <c r="AK856" s="25">
        <f t="shared" si="840"/>
        <v>0</v>
      </c>
      <c r="AL856" s="25">
        <f t="shared" si="841"/>
        <v>0</v>
      </c>
      <c r="AN856" s="25">
        <v>21</v>
      </c>
      <c r="AO856" s="25">
        <f t="shared" si="850"/>
        <v>0</v>
      </c>
      <c r="AP856" s="25">
        <f t="shared" si="851"/>
        <v>0</v>
      </c>
      <c r="AQ856" s="27" t="s">
        <v>58</v>
      </c>
      <c r="AV856" s="25">
        <f t="shared" si="842"/>
        <v>0</v>
      </c>
      <c r="AW856" s="25">
        <f t="shared" si="843"/>
        <v>0</v>
      </c>
      <c r="AX856" s="25">
        <f t="shared" si="844"/>
        <v>0</v>
      </c>
      <c r="AY856" s="27" t="s">
        <v>2450</v>
      </c>
      <c r="AZ856" s="27" t="s">
        <v>305</v>
      </c>
      <c r="BA856" s="11" t="s">
        <v>56</v>
      </c>
      <c r="BC856" s="25">
        <f t="shared" si="845"/>
        <v>0</v>
      </c>
      <c r="BD856" s="25">
        <f t="shared" si="846"/>
        <v>0</v>
      </c>
      <c r="BE856" s="25">
        <v>0</v>
      </c>
      <c r="BF856" s="25">
        <f>856</f>
        <v>856</v>
      </c>
      <c r="BH856" s="25">
        <f t="shared" si="847"/>
        <v>0</v>
      </c>
      <c r="BI856" s="25">
        <f t="shared" si="848"/>
        <v>0</v>
      </c>
      <c r="BJ856" s="25">
        <f t="shared" si="849"/>
        <v>0</v>
      </c>
      <c r="BK856" s="27" t="s">
        <v>57</v>
      </c>
      <c r="BL856" s="25"/>
      <c r="BW856" s="25">
        <v>21</v>
      </c>
      <c r="BX856" s="5" t="s">
        <v>2288</v>
      </c>
    </row>
    <row r="857" spans="1:76" x14ac:dyDescent="0.25">
      <c r="A857" s="2" t="s">
        <v>2523</v>
      </c>
      <c r="B857" s="3" t="s">
        <v>2524</v>
      </c>
      <c r="C857" s="93" t="s">
        <v>2370</v>
      </c>
      <c r="D857" s="94"/>
      <c r="E857" s="3" t="s">
        <v>52</v>
      </c>
      <c r="F857" s="25">
        <v>1</v>
      </c>
      <c r="G857" s="25">
        <v>0</v>
      </c>
      <c r="H857" s="25">
        <f t="shared" si="828"/>
        <v>0</v>
      </c>
      <c r="I857" s="25">
        <f t="shared" si="829"/>
        <v>0</v>
      </c>
      <c r="J857" s="25">
        <f t="shared" si="830"/>
        <v>0</v>
      </c>
      <c r="K857" s="26" t="s">
        <v>53</v>
      </c>
      <c r="Z857" s="25">
        <f t="shared" si="831"/>
        <v>0</v>
      </c>
      <c r="AB857" s="25">
        <f t="shared" si="832"/>
        <v>0</v>
      </c>
      <c r="AC857" s="25">
        <f t="shared" si="833"/>
        <v>0</v>
      </c>
      <c r="AD857" s="25">
        <f t="shared" si="834"/>
        <v>0</v>
      </c>
      <c r="AE857" s="25">
        <f t="shared" si="835"/>
        <v>0</v>
      </c>
      <c r="AF857" s="25">
        <f t="shared" si="836"/>
        <v>0</v>
      </c>
      <c r="AG857" s="25">
        <f t="shared" si="837"/>
        <v>0</v>
      </c>
      <c r="AH857" s="25">
        <f t="shared" si="838"/>
        <v>0</v>
      </c>
      <c r="AI857" s="11" t="s">
        <v>46</v>
      </c>
      <c r="AJ857" s="25">
        <f t="shared" si="839"/>
        <v>0</v>
      </c>
      <c r="AK857" s="25">
        <f t="shared" si="840"/>
        <v>0</v>
      </c>
      <c r="AL857" s="25">
        <f t="shared" si="841"/>
        <v>0</v>
      </c>
      <c r="AN857" s="25">
        <v>21</v>
      </c>
      <c r="AO857" s="25">
        <f t="shared" si="850"/>
        <v>0</v>
      </c>
      <c r="AP857" s="25">
        <f t="shared" si="851"/>
        <v>0</v>
      </c>
      <c r="AQ857" s="27" t="s">
        <v>58</v>
      </c>
      <c r="AV857" s="25">
        <f t="shared" si="842"/>
        <v>0</v>
      </c>
      <c r="AW857" s="25">
        <f t="shared" si="843"/>
        <v>0</v>
      </c>
      <c r="AX857" s="25">
        <f t="shared" si="844"/>
        <v>0</v>
      </c>
      <c r="AY857" s="27" t="s">
        <v>2450</v>
      </c>
      <c r="AZ857" s="27" t="s">
        <v>305</v>
      </c>
      <c r="BA857" s="11" t="s">
        <v>56</v>
      </c>
      <c r="BC857" s="25">
        <f t="shared" si="845"/>
        <v>0</v>
      </c>
      <c r="BD857" s="25">
        <f t="shared" si="846"/>
        <v>0</v>
      </c>
      <c r="BE857" s="25">
        <v>0</v>
      </c>
      <c r="BF857" s="25">
        <f>857</f>
        <v>857</v>
      </c>
      <c r="BH857" s="25">
        <f t="shared" si="847"/>
        <v>0</v>
      </c>
      <c r="BI857" s="25">
        <f t="shared" si="848"/>
        <v>0</v>
      </c>
      <c r="BJ857" s="25">
        <f t="shared" si="849"/>
        <v>0</v>
      </c>
      <c r="BK857" s="27" t="s">
        <v>57</v>
      </c>
      <c r="BL857" s="25"/>
      <c r="BW857" s="25">
        <v>21</v>
      </c>
      <c r="BX857" s="5" t="s">
        <v>2370</v>
      </c>
    </row>
    <row r="858" spans="1:76" x14ac:dyDescent="0.25">
      <c r="A858" s="2" t="s">
        <v>2525</v>
      </c>
      <c r="B858" s="3" t="s">
        <v>2526</v>
      </c>
      <c r="C858" s="93" t="s">
        <v>2373</v>
      </c>
      <c r="D858" s="94"/>
      <c r="E858" s="3" t="s">
        <v>52</v>
      </c>
      <c r="F858" s="25">
        <v>1</v>
      </c>
      <c r="G858" s="25">
        <v>0</v>
      </c>
      <c r="H858" s="25">
        <f t="shared" si="828"/>
        <v>0</v>
      </c>
      <c r="I858" s="25">
        <f t="shared" si="829"/>
        <v>0</v>
      </c>
      <c r="J858" s="25">
        <f t="shared" si="830"/>
        <v>0</v>
      </c>
      <c r="K858" s="26" t="s">
        <v>53</v>
      </c>
      <c r="Z858" s="25">
        <f t="shared" si="831"/>
        <v>0</v>
      </c>
      <c r="AB858" s="25">
        <f t="shared" si="832"/>
        <v>0</v>
      </c>
      <c r="AC858" s="25">
        <f t="shared" si="833"/>
        <v>0</v>
      </c>
      <c r="AD858" s="25">
        <f t="shared" si="834"/>
        <v>0</v>
      </c>
      <c r="AE858" s="25">
        <f t="shared" si="835"/>
        <v>0</v>
      </c>
      <c r="AF858" s="25">
        <f t="shared" si="836"/>
        <v>0</v>
      </c>
      <c r="AG858" s="25">
        <f t="shared" si="837"/>
        <v>0</v>
      </c>
      <c r="AH858" s="25">
        <f t="shared" si="838"/>
        <v>0</v>
      </c>
      <c r="AI858" s="11" t="s">
        <v>46</v>
      </c>
      <c r="AJ858" s="25">
        <f t="shared" si="839"/>
        <v>0</v>
      </c>
      <c r="AK858" s="25">
        <f t="shared" si="840"/>
        <v>0</v>
      </c>
      <c r="AL858" s="25">
        <f t="shared" si="841"/>
        <v>0</v>
      </c>
      <c r="AN858" s="25">
        <v>21</v>
      </c>
      <c r="AO858" s="25">
        <f t="shared" si="850"/>
        <v>0</v>
      </c>
      <c r="AP858" s="25">
        <f t="shared" si="851"/>
        <v>0</v>
      </c>
      <c r="AQ858" s="27" t="s">
        <v>58</v>
      </c>
      <c r="AV858" s="25">
        <f t="shared" si="842"/>
        <v>0</v>
      </c>
      <c r="AW858" s="25">
        <f t="shared" si="843"/>
        <v>0</v>
      </c>
      <c r="AX858" s="25">
        <f t="shared" si="844"/>
        <v>0</v>
      </c>
      <c r="AY858" s="27" t="s">
        <v>2450</v>
      </c>
      <c r="AZ858" s="27" t="s">
        <v>305</v>
      </c>
      <c r="BA858" s="11" t="s">
        <v>56</v>
      </c>
      <c r="BC858" s="25">
        <f t="shared" si="845"/>
        <v>0</v>
      </c>
      <c r="BD858" s="25">
        <f t="shared" si="846"/>
        <v>0</v>
      </c>
      <c r="BE858" s="25">
        <v>0</v>
      </c>
      <c r="BF858" s="25">
        <f>858</f>
        <v>858</v>
      </c>
      <c r="BH858" s="25">
        <f t="shared" si="847"/>
        <v>0</v>
      </c>
      <c r="BI858" s="25">
        <f t="shared" si="848"/>
        <v>0</v>
      </c>
      <c r="BJ858" s="25">
        <f t="shared" si="849"/>
        <v>0</v>
      </c>
      <c r="BK858" s="27" t="s">
        <v>57</v>
      </c>
      <c r="BL858" s="25"/>
      <c r="BW858" s="25">
        <v>21</v>
      </c>
      <c r="BX858" s="5" t="s">
        <v>2373</v>
      </c>
    </row>
    <row r="859" spans="1:76" x14ac:dyDescent="0.25">
      <c r="A859" s="2" t="s">
        <v>2527</v>
      </c>
      <c r="B859" s="3" t="s">
        <v>2528</v>
      </c>
      <c r="C859" s="93" t="s">
        <v>2291</v>
      </c>
      <c r="D859" s="94"/>
      <c r="E859" s="3" t="s">
        <v>52</v>
      </c>
      <c r="F859" s="25">
        <v>1</v>
      </c>
      <c r="G859" s="25">
        <v>0</v>
      </c>
      <c r="H859" s="25">
        <f t="shared" si="828"/>
        <v>0</v>
      </c>
      <c r="I859" s="25">
        <f t="shared" si="829"/>
        <v>0</v>
      </c>
      <c r="J859" s="25">
        <f t="shared" si="830"/>
        <v>0</v>
      </c>
      <c r="K859" s="26" t="s">
        <v>53</v>
      </c>
      <c r="Z859" s="25">
        <f t="shared" si="831"/>
        <v>0</v>
      </c>
      <c r="AB859" s="25">
        <f t="shared" si="832"/>
        <v>0</v>
      </c>
      <c r="AC859" s="25">
        <f t="shared" si="833"/>
        <v>0</v>
      </c>
      <c r="AD859" s="25">
        <f t="shared" si="834"/>
        <v>0</v>
      </c>
      <c r="AE859" s="25">
        <f t="shared" si="835"/>
        <v>0</v>
      </c>
      <c r="AF859" s="25">
        <f t="shared" si="836"/>
        <v>0</v>
      </c>
      <c r="AG859" s="25">
        <f t="shared" si="837"/>
        <v>0</v>
      </c>
      <c r="AH859" s="25">
        <f t="shared" si="838"/>
        <v>0</v>
      </c>
      <c r="AI859" s="11" t="s">
        <v>46</v>
      </c>
      <c r="AJ859" s="25">
        <f t="shared" si="839"/>
        <v>0</v>
      </c>
      <c r="AK859" s="25">
        <f t="shared" si="840"/>
        <v>0</v>
      </c>
      <c r="AL859" s="25">
        <f t="shared" si="841"/>
        <v>0</v>
      </c>
      <c r="AN859" s="25">
        <v>21</v>
      </c>
      <c r="AO859" s="25">
        <f t="shared" si="850"/>
        <v>0</v>
      </c>
      <c r="AP859" s="25">
        <f t="shared" si="851"/>
        <v>0</v>
      </c>
      <c r="AQ859" s="27" t="s">
        <v>58</v>
      </c>
      <c r="AV859" s="25">
        <f t="shared" si="842"/>
        <v>0</v>
      </c>
      <c r="AW859" s="25">
        <f t="shared" si="843"/>
        <v>0</v>
      </c>
      <c r="AX859" s="25">
        <f t="shared" si="844"/>
        <v>0</v>
      </c>
      <c r="AY859" s="27" t="s">
        <v>2450</v>
      </c>
      <c r="AZ859" s="27" t="s">
        <v>305</v>
      </c>
      <c r="BA859" s="11" t="s">
        <v>56</v>
      </c>
      <c r="BC859" s="25">
        <f t="shared" si="845"/>
        <v>0</v>
      </c>
      <c r="BD859" s="25">
        <f t="shared" si="846"/>
        <v>0</v>
      </c>
      <c r="BE859" s="25">
        <v>0</v>
      </c>
      <c r="BF859" s="25">
        <f>859</f>
        <v>859</v>
      </c>
      <c r="BH859" s="25">
        <f t="shared" si="847"/>
        <v>0</v>
      </c>
      <c r="BI859" s="25">
        <f t="shared" si="848"/>
        <v>0</v>
      </c>
      <c r="BJ859" s="25">
        <f t="shared" si="849"/>
        <v>0</v>
      </c>
      <c r="BK859" s="27" t="s">
        <v>57</v>
      </c>
      <c r="BL859" s="25"/>
      <c r="BW859" s="25">
        <v>21</v>
      </c>
      <c r="BX859" s="5" t="s">
        <v>2291</v>
      </c>
    </row>
    <row r="860" spans="1:76" x14ac:dyDescent="0.25">
      <c r="A860" s="2" t="s">
        <v>2529</v>
      </c>
      <c r="B860" s="3" t="s">
        <v>2530</v>
      </c>
      <c r="C860" s="93" t="s">
        <v>2237</v>
      </c>
      <c r="D860" s="94"/>
      <c r="E860" s="3" t="s">
        <v>52</v>
      </c>
      <c r="F860" s="25">
        <v>1</v>
      </c>
      <c r="G860" s="25">
        <v>0</v>
      </c>
      <c r="H860" s="25">
        <f t="shared" si="828"/>
        <v>0</v>
      </c>
      <c r="I860" s="25">
        <f t="shared" si="829"/>
        <v>0</v>
      </c>
      <c r="J860" s="25">
        <f t="shared" si="830"/>
        <v>0</v>
      </c>
      <c r="K860" s="26" t="s">
        <v>53</v>
      </c>
      <c r="Z860" s="25">
        <f t="shared" si="831"/>
        <v>0</v>
      </c>
      <c r="AB860" s="25">
        <f t="shared" si="832"/>
        <v>0</v>
      </c>
      <c r="AC860" s="25">
        <f t="shared" si="833"/>
        <v>0</v>
      </c>
      <c r="AD860" s="25">
        <f t="shared" si="834"/>
        <v>0</v>
      </c>
      <c r="AE860" s="25">
        <f t="shared" si="835"/>
        <v>0</v>
      </c>
      <c r="AF860" s="25">
        <f t="shared" si="836"/>
        <v>0</v>
      </c>
      <c r="AG860" s="25">
        <f t="shared" si="837"/>
        <v>0</v>
      </c>
      <c r="AH860" s="25">
        <f t="shared" si="838"/>
        <v>0</v>
      </c>
      <c r="AI860" s="11" t="s">
        <v>46</v>
      </c>
      <c r="AJ860" s="25">
        <f t="shared" si="839"/>
        <v>0</v>
      </c>
      <c r="AK860" s="25">
        <f t="shared" si="840"/>
        <v>0</v>
      </c>
      <c r="AL860" s="25">
        <f t="shared" si="841"/>
        <v>0</v>
      </c>
      <c r="AN860" s="25">
        <v>21</v>
      </c>
      <c r="AO860" s="25">
        <f t="shared" si="850"/>
        <v>0</v>
      </c>
      <c r="AP860" s="25">
        <f t="shared" si="851"/>
        <v>0</v>
      </c>
      <c r="AQ860" s="27" t="s">
        <v>58</v>
      </c>
      <c r="AV860" s="25">
        <f t="shared" si="842"/>
        <v>0</v>
      </c>
      <c r="AW860" s="25">
        <f t="shared" si="843"/>
        <v>0</v>
      </c>
      <c r="AX860" s="25">
        <f t="shared" si="844"/>
        <v>0</v>
      </c>
      <c r="AY860" s="27" t="s">
        <v>2450</v>
      </c>
      <c r="AZ860" s="27" t="s">
        <v>305</v>
      </c>
      <c r="BA860" s="11" t="s">
        <v>56</v>
      </c>
      <c r="BC860" s="25">
        <f t="shared" si="845"/>
        <v>0</v>
      </c>
      <c r="BD860" s="25">
        <f t="shared" si="846"/>
        <v>0</v>
      </c>
      <c r="BE860" s="25">
        <v>0</v>
      </c>
      <c r="BF860" s="25">
        <f>860</f>
        <v>860</v>
      </c>
      <c r="BH860" s="25">
        <f t="shared" si="847"/>
        <v>0</v>
      </c>
      <c r="BI860" s="25">
        <f t="shared" si="848"/>
        <v>0</v>
      </c>
      <c r="BJ860" s="25">
        <f t="shared" si="849"/>
        <v>0</v>
      </c>
      <c r="BK860" s="27" t="s">
        <v>57</v>
      </c>
      <c r="BL860" s="25"/>
      <c r="BW860" s="25">
        <v>21</v>
      </c>
      <c r="BX860" s="5" t="s">
        <v>2237</v>
      </c>
    </row>
    <row r="861" spans="1:76" x14ac:dyDescent="0.25">
      <c r="A861" s="2" t="s">
        <v>2531</v>
      </c>
      <c r="B861" s="3" t="s">
        <v>2532</v>
      </c>
      <c r="C861" s="93" t="s">
        <v>2240</v>
      </c>
      <c r="D861" s="94"/>
      <c r="E861" s="3" t="s">
        <v>52</v>
      </c>
      <c r="F861" s="25">
        <v>1</v>
      </c>
      <c r="G861" s="25">
        <v>0</v>
      </c>
      <c r="H861" s="25">
        <f t="shared" si="828"/>
        <v>0</v>
      </c>
      <c r="I861" s="25">
        <f t="shared" si="829"/>
        <v>0</v>
      </c>
      <c r="J861" s="25">
        <f t="shared" si="830"/>
        <v>0</v>
      </c>
      <c r="K861" s="26" t="s">
        <v>53</v>
      </c>
      <c r="Z861" s="25">
        <f t="shared" si="831"/>
        <v>0</v>
      </c>
      <c r="AB861" s="25">
        <f t="shared" si="832"/>
        <v>0</v>
      </c>
      <c r="AC861" s="25">
        <f t="shared" si="833"/>
        <v>0</v>
      </c>
      <c r="AD861" s="25">
        <f t="shared" si="834"/>
        <v>0</v>
      </c>
      <c r="AE861" s="25">
        <f t="shared" si="835"/>
        <v>0</v>
      </c>
      <c r="AF861" s="25">
        <f t="shared" si="836"/>
        <v>0</v>
      </c>
      <c r="AG861" s="25">
        <f t="shared" si="837"/>
        <v>0</v>
      </c>
      <c r="AH861" s="25">
        <f t="shared" si="838"/>
        <v>0</v>
      </c>
      <c r="AI861" s="11" t="s">
        <v>46</v>
      </c>
      <c r="AJ861" s="25">
        <f t="shared" si="839"/>
        <v>0</v>
      </c>
      <c r="AK861" s="25">
        <f t="shared" si="840"/>
        <v>0</v>
      </c>
      <c r="AL861" s="25">
        <f t="shared" si="841"/>
        <v>0</v>
      </c>
      <c r="AN861" s="25">
        <v>21</v>
      </c>
      <c r="AO861" s="25">
        <f>G861*1</f>
        <v>0</v>
      </c>
      <c r="AP861" s="25">
        <f>G861*(1-1)</f>
        <v>0</v>
      </c>
      <c r="AQ861" s="27" t="s">
        <v>58</v>
      </c>
      <c r="AV861" s="25">
        <f t="shared" si="842"/>
        <v>0</v>
      </c>
      <c r="AW861" s="25">
        <f t="shared" si="843"/>
        <v>0</v>
      </c>
      <c r="AX861" s="25">
        <f t="shared" si="844"/>
        <v>0</v>
      </c>
      <c r="AY861" s="27" t="s">
        <v>2450</v>
      </c>
      <c r="AZ861" s="27" t="s">
        <v>305</v>
      </c>
      <c r="BA861" s="11" t="s">
        <v>56</v>
      </c>
      <c r="BC861" s="25">
        <f t="shared" si="845"/>
        <v>0</v>
      </c>
      <c r="BD861" s="25">
        <f t="shared" si="846"/>
        <v>0</v>
      </c>
      <c r="BE861" s="25">
        <v>0</v>
      </c>
      <c r="BF861" s="25">
        <f>861</f>
        <v>861</v>
      </c>
      <c r="BH861" s="25">
        <f t="shared" si="847"/>
        <v>0</v>
      </c>
      <c r="BI861" s="25">
        <f t="shared" si="848"/>
        <v>0</v>
      </c>
      <c r="BJ861" s="25">
        <f t="shared" si="849"/>
        <v>0</v>
      </c>
      <c r="BK861" s="27" t="s">
        <v>57</v>
      </c>
      <c r="BL861" s="25"/>
      <c r="BW861" s="25">
        <v>21</v>
      </c>
      <c r="BX861" s="5" t="s">
        <v>2240</v>
      </c>
    </row>
    <row r="862" spans="1:76" x14ac:dyDescent="0.25">
      <c r="A862" s="28" t="s">
        <v>46</v>
      </c>
      <c r="B862" s="29" t="s">
        <v>2533</v>
      </c>
      <c r="C862" s="150" t="s">
        <v>2534</v>
      </c>
      <c r="D862" s="151"/>
      <c r="E862" s="30" t="s">
        <v>4</v>
      </c>
      <c r="F862" s="30" t="s">
        <v>4</v>
      </c>
      <c r="G862" s="30" t="s">
        <v>4</v>
      </c>
      <c r="H862" s="1">
        <f>H863+H866+H868+H871+H873</f>
        <v>0</v>
      </c>
      <c r="I862" s="1">
        <f>I863+I866+I868+I871+I873</f>
        <v>0</v>
      </c>
      <c r="J862" s="1">
        <f>J863+J866+J868+J871+J873</f>
        <v>0</v>
      </c>
      <c r="K862" s="31" t="s">
        <v>46</v>
      </c>
      <c r="AI862" s="11" t="s">
        <v>46</v>
      </c>
    </row>
    <row r="863" spans="1:76" x14ac:dyDescent="0.25">
      <c r="A863" s="28" t="s">
        <v>46</v>
      </c>
      <c r="B863" s="29" t="s">
        <v>2535</v>
      </c>
      <c r="C863" s="150" t="s">
        <v>2536</v>
      </c>
      <c r="D863" s="151"/>
      <c r="E863" s="30" t="s">
        <v>4</v>
      </c>
      <c r="F863" s="30" t="s">
        <v>4</v>
      </c>
      <c r="G863" s="30" t="s">
        <v>4</v>
      </c>
      <c r="H863" s="1">
        <f>ROUND(SUM(H864:H865),1)</f>
        <v>0</v>
      </c>
      <c r="I863" s="1">
        <f>ROUND(SUM(I864:I865),1)</f>
        <v>0</v>
      </c>
      <c r="J863" s="1">
        <f>ROUND(SUM(J864:J865),1)</f>
        <v>0</v>
      </c>
      <c r="K863" s="31" t="s">
        <v>46</v>
      </c>
      <c r="AI863" s="11" t="s">
        <v>46</v>
      </c>
      <c r="AS863" s="1">
        <f>SUM(AJ864:AJ865)</f>
        <v>0</v>
      </c>
      <c r="AT863" s="1">
        <f>SUM(AK864:AK865)</f>
        <v>0</v>
      </c>
      <c r="AU863" s="1">
        <f>SUM(AL864:AL865)</f>
        <v>0</v>
      </c>
    </row>
    <row r="864" spans="1:76" x14ac:dyDescent="0.25">
      <c r="A864" s="2" t="s">
        <v>2537</v>
      </c>
      <c r="B864" s="3" t="s">
        <v>2538</v>
      </c>
      <c r="C864" s="93" t="s">
        <v>2539</v>
      </c>
      <c r="D864" s="94"/>
      <c r="E864" s="3" t="s">
        <v>52</v>
      </c>
      <c r="F864" s="25">
        <v>1</v>
      </c>
      <c r="G864" s="25">
        <v>0</v>
      </c>
      <c r="H864" s="25">
        <f>ROUND(F864*AO864,2)</f>
        <v>0</v>
      </c>
      <c r="I864" s="25">
        <f>ROUND(F864*AP864,2)</f>
        <v>0</v>
      </c>
      <c r="J864" s="25">
        <f>ROUND(F864*G864,1)</f>
        <v>0</v>
      </c>
      <c r="K864" s="26" t="s">
        <v>53</v>
      </c>
      <c r="Z864" s="25">
        <f>ROUND(IF(AQ864="5",BJ864,0),2)</f>
        <v>0</v>
      </c>
      <c r="AB864" s="25">
        <f>ROUND(IF(AQ864="1",BH864,0),2)</f>
        <v>0</v>
      </c>
      <c r="AC864" s="25">
        <f>ROUND(IF(AQ864="1",BI864,0),2)</f>
        <v>0</v>
      </c>
      <c r="AD864" s="25">
        <f>ROUND(IF(AQ864="7",BH864,0),2)</f>
        <v>0</v>
      </c>
      <c r="AE864" s="25">
        <f>ROUND(IF(AQ864="7",BI864,0),2)</f>
        <v>0</v>
      </c>
      <c r="AF864" s="25">
        <f>ROUND(IF(AQ864="2",BH864,0),2)</f>
        <v>0</v>
      </c>
      <c r="AG864" s="25">
        <f>ROUND(IF(AQ864="2",BI864,0),2)</f>
        <v>0</v>
      </c>
      <c r="AH864" s="25">
        <f>ROUND(IF(AQ864="0",BJ864,0),2)</f>
        <v>0</v>
      </c>
      <c r="AI864" s="11" t="s">
        <v>46</v>
      </c>
      <c r="AJ864" s="25">
        <f>IF(AN864=0,J864,0)</f>
        <v>0</v>
      </c>
      <c r="AK864" s="25">
        <f>IF(AN864=12,J864,0)</f>
        <v>0</v>
      </c>
      <c r="AL864" s="25">
        <f>IF(AN864=21,J864,0)</f>
        <v>0</v>
      </c>
      <c r="AN864" s="25">
        <v>21</v>
      </c>
      <c r="AO864" s="25">
        <f>G864*0</f>
        <v>0</v>
      </c>
      <c r="AP864" s="25">
        <f>G864*(1-0)</f>
        <v>0</v>
      </c>
      <c r="AQ864" s="27" t="s">
        <v>378</v>
      </c>
      <c r="AV864" s="25">
        <f>ROUND(AW864+AX864,2)</f>
        <v>0</v>
      </c>
      <c r="AW864" s="25">
        <f>ROUND(F864*AO864,2)</f>
        <v>0</v>
      </c>
      <c r="AX864" s="25">
        <f>ROUND(F864*AP864,2)</f>
        <v>0</v>
      </c>
      <c r="AY864" s="27" t="s">
        <v>2540</v>
      </c>
      <c r="AZ864" s="27" t="s">
        <v>2541</v>
      </c>
      <c r="BA864" s="11" t="s">
        <v>56</v>
      </c>
      <c r="BC864" s="25">
        <f>AW864+AX864</f>
        <v>0</v>
      </c>
      <c r="BD864" s="25">
        <f>G864/(100-BE864)*100</f>
        <v>0</v>
      </c>
      <c r="BE864" s="25">
        <v>0</v>
      </c>
      <c r="BF864" s="25">
        <f>864</f>
        <v>864</v>
      </c>
      <c r="BH864" s="25">
        <f>F864*AO864</f>
        <v>0</v>
      </c>
      <c r="BI864" s="25">
        <f>F864*AP864</f>
        <v>0</v>
      </c>
      <c r="BJ864" s="25">
        <f>F864*G864</f>
        <v>0</v>
      </c>
      <c r="BK864" s="27" t="s">
        <v>57</v>
      </c>
      <c r="BL864" s="25"/>
      <c r="BM864" s="25">
        <f>F864*G864</f>
        <v>0</v>
      </c>
      <c r="BW864" s="25">
        <v>21</v>
      </c>
      <c r="BX864" s="5" t="s">
        <v>2539</v>
      </c>
    </row>
    <row r="865" spans="1:76" x14ac:dyDescent="0.25">
      <c r="A865" s="2" t="s">
        <v>2542</v>
      </c>
      <c r="B865" s="3" t="s">
        <v>2543</v>
      </c>
      <c r="C865" s="93" t="s">
        <v>2544</v>
      </c>
      <c r="D865" s="94"/>
      <c r="E865" s="3" t="s">
        <v>52</v>
      </c>
      <c r="F865" s="25">
        <v>1</v>
      </c>
      <c r="G865" s="25">
        <v>0</v>
      </c>
      <c r="H865" s="25">
        <f>ROUND(F865*AO865,2)</f>
        <v>0</v>
      </c>
      <c r="I865" s="25">
        <f>ROUND(F865*AP865,2)</f>
        <v>0</v>
      </c>
      <c r="J865" s="25">
        <f>ROUND(F865*G865,1)</f>
        <v>0</v>
      </c>
      <c r="K865" s="26" t="s">
        <v>53</v>
      </c>
      <c r="Z865" s="25">
        <f>ROUND(IF(AQ865="5",BJ865,0),2)</f>
        <v>0</v>
      </c>
      <c r="AB865" s="25">
        <f>ROUND(IF(AQ865="1",BH865,0),2)</f>
        <v>0</v>
      </c>
      <c r="AC865" s="25">
        <f>ROUND(IF(AQ865="1",BI865,0),2)</f>
        <v>0</v>
      </c>
      <c r="AD865" s="25">
        <f>ROUND(IF(AQ865="7",BH865,0),2)</f>
        <v>0</v>
      </c>
      <c r="AE865" s="25">
        <f>ROUND(IF(AQ865="7",BI865,0),2)</f>
        <v>0</v>
      </c>
      <c r="AF865" s="25">
        <f>ROUND(IF(AQ865="2",BH865,0),2)</f>
        <v>0</v>
      </c>
      <c r="AG865" s="25">
        <f>ROUND(IF(AQ865="2",BI865,0),2)</f>
        <v>0</v>
      </c>
      <c r="AH865" s="25">
        <f>ROUND(IF(AQ865="0",BJ865,0),2)</f>
        <v>0</v>
      </c>
      <c r="AI865" s="11" t="s">
        <v>46</v>
      </c>
      <c r="AJ865" s="25">
        <f>IF(AN865=0,J865,0)</f>
        <v>0</v>
      </c>
      <c r="AK865" s="25">
        <f>IF(AN865=12,J865,0)</f>
        <v>0</v>
      </c>
      <c r="AL865" s="25">
        <f>IF(AN865=21,J865,0)</f>
        <v>0</v>
      </c>
      <c r="AN865" s="25">
        <v>21</v>
      </c>
      <c r="AO865" s="25">
        <f>G865*0</f>
        <v>0</v>
      </c>
      <c r="AP865" s="25">
        <f>G865*(1-0)</f>
        <v>0</v>
      </c>
      <c r="AQ865" s="27" t="s">
        <v>378</v>
      </c>
      <c r="AV865" s="25">
        <f>ROUND(AW865+AX865,2)</f>
        <v>0</v>
      </c>
      <c r="AW865" s="25">
        <f>ROUND(F865*AO865,2)</f>
        <v>0</v>
      </c>
      <c r="AX865" s="25">
        <f>ROUND(F865*AP865,2)</f>
        <v>0</v>
      </c>
      <c r="AY865" s="27" t="s">
        <v>2540</v>
      </c>
      <c r="AZ865" s="27" t="s">
        <v>2541</v>
      </c>
      <c r="BA865" s="11" t="s">
        <v>56</v>
      </c>
      <c r="BC865" s="25">
        <f>AW865+AX865</f>
        <v>0</v>
      </c>
      <c r="BD865" s="25">
        <f>G865/(100-BE865)*100</f>
        <v>0</v>
      </c>
      <c r="BE865" s="25">
        <v>0</v>
      </c>
      <c r="BF865" s="25">
        <f>865</f>
        <v>865</v>
      </c>
      <c r="BH865" s="25">
        <f>F865*AO865</f>
        <v>0</v>
      </c>
      <c r="BI865" s="25">
        <f>F865*AP865</f>
        <v>0</v>
      </c>
      <c r="BJ865" s="25">
        <f>F865*G865</f>
        <v>0</v>
      </c>
      <c r="BK865" s="27" t="s">
        <v>57</v>
      </c>
      <c r="BL865" s="25"/>
      <c r="BM865" s="25">
        <f>F865*G865</f>
        <v>0</v>
      </c>
      <c r="BW865" s="25">
        <v>21</v>
      </c>
      <c r="BX865" s="5" t="s">
        <v>2544</v>
      </c>
    </row>
    <row r="866" spans="1:76" x14ac:dyDescent="0.25">
      <c r="A866" s="28" t="s">
        <v>46</v>
      </c>
      <c r="B866" s="29" t="s">
        <v>2545</v>
      </c>
      <c r="C866" s="150" t="s">
        <v>2546</v>
      </c>
      <c r="D866" s="151"/>
      <c r="E866" s="30" t="s">
        <v>4</v>
      </c>
      <c r="F866" s="30" t="s">
        <v>4</v>
      </c>
      <c r="G866" s="30" t="s">
        <v>4</v>
      </c>
      <c r="H866" s="1">
        <f>ROUND(SUM(H867:H867),1)</f>
        <v>0</v>
      </c>
      <c r="I866" s="1">
        <f>ROUND(SUM(I867:I867),1)</f>
        <v>0</v>
      </c>
      <c r="J866" s="1">
        <f>ROUND(SUM(J867:J867),1)</f>
        <v>0</v>
      </c>
      <c r="K866" s="31" t="s">
        <v>46</v>
      </c>
      <c r="AI866" s="11" t="s">
        <v>46</v>
      </c>
      <c r="AS866" s="1">
        <f>SUM(AJ867:AJ867)</f>
        <v>0</v>
      </c>
      <c r="AT866" s="1">
        <f>SUM(AK867:AK867)</f>
        <v>0</v>
      </c>
      <c r="AU866" s="1">
        <f>SUM(AL867:AL867)</f>
        <v>0</v>
      </c>
    </row>
    <row r="867" spans="1:76" x14ac:dyDescent="0.25">
      <c r="A867" s="2" t="s">
        <v>2547</v>
      </c>
      <c r="B867" s="3" t="s">
        <v>2548</v>
      </c>
      <c r="C867" s="93" t="s">
        <v>2546</v>
      </c>
      <c r="D867" s="94"/>
      <c r="E867" s="3" t="s">
        <v>52</v>
      </c>
      <c r="F867" s="25">
        <v>1</v>
      </c>
      <c r="G867" s="25">
        <v>0</v>
      </c>
      <c r="H867" s="25">
        <f>ROUND(F867*AO867,2)</f>
        <v>0</v>
      </c>
      <c r="I867" s="25">
        <f>ROUND(F867*AP867,2)</f>
        <v>0</v>
      </c>
      <c r="J867" s="25">
        <f>ROUND(F867*G867,1)</f>
        <v>0</v>
      </c>
      <c r="K867" s="26" t="s">
        <v>53</v>
      </c>
      <c r="Z867" s="25">
        <f>ROUND(IF(AQ867="5",BJ867,0),2)</f>
        <v>0</v>
      </c>
      <c r="AB867" s="25">
        <f>ROUND(IF(AQ867="1",BH867,0),2)</f>
        <v>0</v>
      </c>
      <c r="AC867" s="25">
        <f>ROUND(IF(AQ867="1",BI867,0),2)</f>
        <v>0</v>
      </c>
      <c r="AD867" s="25">
        <f>ROUND(IF(AQ867="7",BH867,0),2)</f>
        <v>0</v>
      </c>
      <c r="AE867" s="25">
        <f>ROUND(IF(AQ867="7",BI867,0),2)</f>
        <v>0</v>
      </c>
      <c r="AF867" s="25">
        <f>ROUND(IF(AQ867="2",BH867,0),2)</f>
        <v>0</v>
      </c>
      <c r="AG867" s="25">
        <f>ROUND(IF(AQ867="2",BI867,0),2)</f>
        <v>0</v>
      </c>
      <c r="AH867" s="25">
        <f>ROUND(IF(AQ867="0",BJ867,0),2)</f>
        <v>0</v>
      </c>
      <c r="AI867" s="11" t="s">
        <v>46</v>
      </c>
      <c r="AJ867" s="25">
        <f>IF(AN867=0,J867,0)</f>
        <v>0</v>
      </c>
      <c r="AK867" s="25">
        <f>IF(AN867=12,J867,0)</f>
        <v>0</v>
      </c>
      <c r="AL867" s="25">
        <f>IF(AN867=21,J867,0)</f>
        <v>0</v>
      </c>
      <c r="AN867" s="25">
        <v>21</v>
      </c>
      <c r="AO867" s="25">
        <f>G867*0</f>
        <v>0</v>
      </c>
      <c r="AP867" s="25">
        <f>G867*(1-0)</f>
        <v>0</v>
      </c>
      <c r="AQ867" s="27" t="s">
        <v>378</v>
      </c>
      <c r="AV867" s="25">
        <f>ROUND(AW867+AX867,2)</f>
        <v>0</v>
      </c>
      <c r="AW867" s="25">
        <f>ROUND(F867*AO867,2)</f>
        <v>0</v>
      </c>
      <c r="AX867" s="25">
        <f>ROUND(F867*AP867,2)</f>
        <v>0</v>
      </c>
      <c r="AY867" s="27" t="s">
        <v>2549</v>
      </c>
      <c r="AZ867" s="27" t="s">
        <v>2541</v>
      </c>
      <c r="BA867" s="11" t="s">
        <v>56</v>
      </c>
      <c r="BC867" s="25">
        <f>AW867+AX867</f>
        <v>0</v>
      </c>
      <c r="BD867" s="25">
        <f>G867/(100-BE867)*100</f>
        <v>0</v>
      </c>
      <c r="BE867" s="25">
        <v>0</v>
      </c>
      <c r="BF867" s="25">
        <f>867</f>
        <v>867</v>
      </c>
      <c r="BH867" s="25">
        <f>F867*AO867</f>
        <v>0</v>
      </c>
      <c r="BI867" s="25">
        <f>F867*AP867</f>
        <v>0</v>
      </c>
      <c r="BJ867" s="25">
        <f>F867*G867</f>
        <v>0</v>
      </c>
      <c r="BK867" s="27" t="s">
        <v>57</v>
      </c>
      <c r="BL867" s="25"/>
      <c r="BO867" s="25">
        <f>F867*G867</f>
        <v>0</v>
      </c>
      <c r="BW867" s="25">
        <v>21</v>
      </c>
      <c r="BX867" s="5" t="s">
        <v>2546</v>
      </c>
    </row>
    <row r="868" spans="1:76" x14ac:dyDescent="0.25">
      <c r="A868" s="28" t="s">
        <v>46</v>
      </c>
      <c r="B868" s="29" t="s">
        <v>2550</v>
      </c>
      <c r="C868" s="150" t="s">
        <v>2551</v>
      </c>
      <c r="D868" s="151"/>
      <c r="E868" s="30" t="s">
        <v>4</v>
      </c>
      <c r="F868" s="30" t="s">
        <v>4</v>
      </c>
      <c r="G868" s="30" t="s">
        <v>4</v>
      </c>
      <c r="H868" s="1">
        <f>ROUND(SUM(H869:H870),1)</f>
        <v>0</v>
      </c>
      <c r="I868" s="1">
        <f>ROUND(SUM(I869:I870),1)</f>
        <v>0</v>
      </c>
      <c r="J868" s="1">
        <f>ROUND(SUM(J869:J870),1)</f>
        <v>0</v>
      </c>
      <c r="K868" s="31" t="s">
        <v>46</v>
      </c>
      <c r="AI868" s="11" t="s">
        <v>46</v>
      </c>
      <c r="AS868" s="1">
        <f>SUM(AJ869:AJ870)</f>
        <v>0</v>
      </c>
      <c r="AT868" s="1">
        <f>SUM(AK869:AK870)</f>
        <v>0</v>
      </c>
      <c r="AU868" s="1">
        <f>SUM(AL869:AL870)</f>
        <v>0</v>
      </c>
    </row>
    <row r="869" spans="1:76" x14ac:dyDescent="0.25">
      <c r="A869" s="2" t="s">
        <v>2552</v>
      </c>
      <c r="B869" s="3" t="s">
        <v>2553</v>
      </c>
      <c r="C869" s="93" t="s">
        <v>2554</v>
      </c>
      <c r="D869" s="94"/>
      <c r="E869" s="3" t="s">
        <v>52</v>
      </c>
      <c r="F869" s="25">
        <v>1</v>
      </c>
      <c r="G869" s="25">
        <v>0</v>
      </c>
      <c r="H869" s="25">
        <f>ROUND(F869*AO869,2)</f>
        <v>0</v>
      </c>
      <c r="I869" s="25">
        <f>ROUND(F869*AP869,2)</f>
        <v>0</v>
      </c>
      <c r="J869" s="25">
        <f>ROUND(F869*G869,1)</f>
        <v>0</v>
      </c>
      <c r="K869" s="26" t="s">
        <v>53</v>
      </c>
      <c r="Z869" s="25">
        <f>ROUND(IF(AQ869="5",BJ869,0),2)</f>
        <v>0</v>
      </c>
      <c r="AB869" s="25">
        <f>ROUND(IF(AQ869="1",BH869,0),2)</f>
        <v>0</v>
      </c>
      <c r="AC869" s="25">
        <f>ROUND(IF(AQ869="1",BI869,0),2)</f>
        <v>0</v>
      </c>
      <c r="AD869" s="25">
        <f>ROUND(IF(AQ869="7",BH869,0),2)</f>
        <v>0</v>
      </c>
      <c r="AE869" s="25">
        <f>ROUND(IF(AQ869="7",BI869,0),2)</f>
        <v>0</v>
      </c>
      <c r="AF869" s="25">
        <f>ROUND(IF(AQ869="2",BH869,0),2)</f>
        <v>0</v>
      </c>
      <c r="AG869" s="25">
        <f>ROUND(IF(AQ869="2",BI869,0),2)</f>
        <v>0</v>
      </c>
      <c r="AH869" s="25">
        <f>ROUND(IF(AQ869="0",BJ869,0),2)</f>
        <v>0</v>
      </c>
      <c r="AI869" s="11" t="s">
        <v>46</v>
      </c>
      <c r="AJ869" s="25">
        <f>IF(AN869=0,J869,0)</f>
        <v>0</v>
      </c>
      <c r="AK869" s="25">
        <f>IF(AN869=12,J869,0)</f>
        <v>0</v>
      </c>
      <c r="AL869" s="25">
        <f>IF(AN869=21,J869,0)</f>
        <v>0</v>
      </c>
      <c r="AN869" s="25">
        <v>21</v>
      </c>
      <c r="AO869" s="25">
        <f>G869*0</f>
        <v>0</v>
      </c>
      <c r="AP869" s="25">
        <f>G869*(1-0)</f>
        <v>0</v>
      </c>
      <c r="AQ869" s="27" t="s">
        <v>378</v>
      </c>
      <c r="AV869" s="25">
        <f>ROUND(AW869+AX869,2)</f>
        <v>0</v>
      </c>
      <c r="AW869" s="25">
        <f>ROUND(F869*AO869,2)</f>
        <v>0</v>
      </c>
      <c r="AX869" s="25">
        <f>ROUND(F869*AP869,2)</f>
        <v>0</v>
      </c>
      <c r="AY869" s="27" t="s">
        <v>2555</v>
      </c>
      <c r="AZ869" s="27" t="s">
        <v>2541</v>
      </c>
      <c r="BA869" s="11" t="s">
        <v>56</v>
      </c>
      <c r="BC869" s="25">
        <f>AW869+AX869</f>
        <v>0</v>
      </c>
      <c r="BD869" s="25">
        <f>G869/(100-BE869)*100</f>
        <v>0</v>
      </c>
      <c r="BE869" s="25">
        <v>0</v>
      </c>
      <c r="BF869" s="25">
        <f>869</f>
        <v>869</v>
      </c>
      <c r="BH869" s="25">
        <f>F869*AO869</f>
        <v>0</v>
      </c>
      <c r="BI869" s="25">
        <f>F869*AP869</f>
        <v>0</v>
      </c>
      <c r="BJ869" s="25">
        <f>F869*G869</f>
        <v>0</v>
      </c>
      <c r="BK869" s="27" t="s">
        <v>57</v>
      </c>
      <c r="BL869" s="25"/>
      <c r="BP869" s="25">
        <f>F869*G869</f>
        <v>0</v>
      </c>
      <c r="BW869" s="25">
        <v>21</v>
      </c>
      <c r="BX869" s="5" t="s">
        <v>2554</v>
      </c>
    </row>
    <row r="870" spans="1:76" x14ac:dyDescent="0.25">
      <c r="A870" s="2" t="s">
        <v>2556</v>
      </c>
      <c r="B870" s="3" t="s">
        <v>2557</v>
      </c>
      <c r="C870" s="93" t="s">
        <v>2558</v>
      </c>
      <c r="D870" s="94"/>
      <c r="E870" s="3" t="s">
        <v>52</v>
      </c>
      <c r="F870" s="25">
        <v>1</v>
      </c>
      <c r="G870" s="25">
        <v>0</v>
      </c>
      <c r="H870" s="25">
        <f>ROUND(F870*AO870,2)</f>
        <v>0</v>
      </c>
      <c r="I870" s="25">
        <f>ROUND(F870*AP870,2)</f>
        <v>0</v>
      </c>
      <c r="J870" s="25">
        <f>ROUND(F870*G870,1)</f>
        <v>0</v>
      </c>
      <c r="K870" s="26" t="s">
        <v>53</v>
      </c>
      <c r="Z870" s="25">
        <f>ROUND(IF(AQ870="5",BJ870,0),2)</f>
        <v>0</v>
      </c>
      <c r="AB870" s="25">
        <f>ROUND(IF(AQ870="1",BH870,0),2)</f>
        <v>0</v>
      </c>
      <c r="AC870" s="25">
        <f>ROUND(IF(AQ870="1",BI870,0),2)</f>
        <v>0</v>
      </c>
      <c r="AD870" s="25">
        <f>ROUND(IF(AQ870="7",BH870,0),2)</f>
        <v>0</v>
      </c>
      <c r="AE870" s="25">
        <f>ROUND(IF(AQ870="7",BI870,0),2)</f>
        <v>0</v>
      </c>
      <c r="AF870" s="25">
        <f>ROUND(IF(AQ870="2",BH870,0),2)</f>
        <v>0</v>
      </c>
      <c r="AG870" s="25">
        <f>ROUND(IF(AQ870="2",BI870,0),2)</f>
        <v>0</v>
      </c>
      <c r="AH870" s="25">
        <f>ROUND(IF(AQ870="0",BJ870,0),2)</f>
        <v>0</v>
      </c>
      <c r="AI870" s="11" t="s">
        <v>46</v>
      </c>
      <c r="AJ870" s="25">
        <f>IF(AN870=0,J870,0)</f>
        <v>0</v>
      </c>
      <c r="AK870" s="25">
        <f>IF(AN870=12,J870,0)</f>
        <v>0</v>
      </c>
      <c r="AL870" s="25">
        <f>IF(AN870=21,J870,0)</f>
        <v>0</v>
      </c>
      <c r="AN870" s="25">
        <v>21</v>
      </c>
      <c r="AO870" s="25">
        <f>G870*0</f>
        <v>0</v>
      </c>
      <c r="AP870" s="25">
        <f>G870*(1-0)</f>
        <v>0</v>
      </c>
      <c r="AQ870" s="27" t="s">
        <v>378</v>
      </c>
      <c r="AV870" s="25">
        <f>ROUND(AW870+AX870,2)</f>
        <v>0</v>
      </c>
      <c r="AW870" s="25">
        <f>ROUND(F870*AO870,2)</f>
        <v>0</v>
      </c>
      <c r="AX870" s="25">
        <f>ROUND(F870*AP870,2)</f>
        <v>0</v>
      </c>
      <c r="AY870" s="27" t="s">
        <v>2555</v>
      </c>
      <c r="AZ870" s="27" t="s">
        <v>2541</v>
      </c>
      <c r="BA870" s="11" t="s">
        <v>56</v>
      </c>
      <c r="BC870" s="25">
        <f>AW870+AX870</f>
        <v>0</v>
      </c>
      <c r="BD870" s="25">
        <f>G870/(100-BE870)*100</f>
        <v>0</v>
      </c>
      <c r="BE870" s="25">
        <v>0</v>
      </c>
      <c r="BF870" s="25">
        <f>870</f>
        <v>870</v>
      </c>
      <c r="BH870" s="25">
        <f>F870*AO870</f>
        <v>0</v>
      </c>
      <c r="BI870" s="25">
        <f>F870*AP870</f>
        <v>0</v>
      </c>
      <c r="BJ870" s="25">
        <f>F870*G870</f>
        <v>0</v>
      </c>
      <c r="BK870" s="27" t="s">
        <v>57</v>
      </c>
      <c r="BL870" s="25"/>
      <c r="BP870" s="25">
        <f>F870*G870</f>
        <v>0</v>
      </c>
      <c r="BW870" s="25">
        <v>21</v>
      </c>
      <c r="BX870" s="5" t="s">
        <v>2558</v>
      </c>
    </row>
    <row r="871" spans="1:76" x14ac:dyDescent="0.25">
      <c r="A871" s="28" t="s">
        <v>46</v>
      </c>
      <c r="B871" s="29" t="s">
        <v>2559</v>
      </c>
      <c r="C871" s="150" t="s">
        <v>2560</v>
      </c>
      <c r="D871" s="151"/>
      <c r="E871" s="30" t="s">
        <v>4</v>
      </c>
      <c r="F871" s="30" t="s">
        <v>4</v>
      </c>
      <c r="G871" s="30" t="s">
        <v>4</v>
      </c>
      <c r="H871" s="1">
        <f>ROUND(SUM(H872:H872),1)</f>
        <v>0</v>
      </c>
      <c r="I871" s="1">
        <f>ROUND(SUM(I872:I872),1)</f>
        <v>0</v>
      </c>
      <c r="J871" s="1">
        <f>ROUND(SUM(J872:J872),1)</f>
        <v>0</v>
      </c>
      <c r="K871" s="31" t="s">
        <v>46</v>
      </c>
      <c r="AI871" s="11" t="s">
        <v>46</v>
      </c>
      <c r="AS871" s="1">
        <f>SUM(AJ872:AJ872)</f>
        <v>0</v>
      </c>
      <c r="AT871" s="1">
        <f>SUM(AK872:AK872)</f>
        <v>0</v>
      </c>
      <c r="AU871" s="1">
        <f>SUM(AL872:AL872)</f>
        <v>0</v>
      </c>
    </row>
    <row r="872" spans="1:76" x14ac:dyDescent="0.25">
      <c r="A872" s="2" t="s">
        <v>2561</v>
      </c>
      <c r="B872" s="3" t="s">
        <v>2562</v>
      </c>
      <c r="C872" s="93" t="s">
        <v>2560</v>
      </c>
      <c r="D872" s="94"/>
      <c r="E872" s="3" t="s">
        <v>52</v>
      </c>
      <c r="F872" s="25">
        <v>1</v>
      </c>
      <c r="G872" s="25">
        <v>0</v>
      </c>
      <c r="H872" s="25">
        <f>ROUND(F872*AO872,2)</f>
        <v>0</v>
      </c>
      <c r="I872" s="25">
        <f>ROUND(F872*AP872,2)</f>
        <v>0</v>
      </c>
      <c r="J872" s="25">
        <f>ROUND(F872*G872,1)</f>
        <v>0</v>
      </c>
      <c r="K872" s="26" t="s">
        <v>53</v>
      </c>
      <c r="Z872" s="25">
        <f>ROUND(IF(AQ872="5",BJ872,0),2)</f>
        <v>0</v>
      </c>
      <c r="AB872" s="25">
        <f>ROUND(IF(AQ872="1",BH872,0),2)</f>
        <v>0</v>
      </c>
      <c r="AC872" s="25">
        <f>ROUND(IF(AQ872="1",BI872,0),2)</f>
        <v>0</v>
      </c>
      <c r="AD872" s="25">
        <f>ROUND(IF(AQ872="7",BH872,0),2)</f>
        <v>0</v>
      </c>
      <c r="AE872" s="25">
        <f>ROUND(IF(AQ872="7",BI872,0),2)</f>
        <v>0</v>
      </c>
      <c r="AF872" s="25">
        <f>ROUND(IF(AQ872="2",BH872,0),2)</f>
        <v>0</v>
      </c>
      <c r="AG872" s="25">
        <f>ROUND(IF(AQ872="2",BI872,0),2)</f>
        <v>0</v>
      </c>
      <c r="AH872" s="25">
        <f>ROUND(IF(AQ872="0",BJ872,0),2)</f>
        <v>0</v>
      </c>
      <c r="AI872" s="11" t="s">
        <v>46</v>
      </c>
      <c r="AJ872" s="25">
        <f>IF(AN872=0,J872,0)</f>
        <v>0</v>
      </c>
      <c r="AK872" s="25">
        <f>IF(AN872=12,J872,0)</f>
        <v>0</v>
      </c>
      <c r="AL872" s="25">
        <f>IF(AN872=21,J872,0)</f>
        <v>0</v>
      </c>
      <c r="AN872" s="25">
        <v>21</v>
      </c>
      <c r="AO872" s="25">
        <f>G872*0</f>
        <v>0</v>
      </c>
      <c r="AP872" s="25">
        <f>G872*(1-0)</f>
        <v>0</v>
      </c>
      <c r="AQ872" s="27" t="s">
        <v>378</v>
      </c>
      <c r="AV872" s="25">
        <f>ROUND(AW872+AX872,2)</f>
        <v>0</v>
      </c>
      <c r="AW872" s="25">
        <f>ROUND(F872*AO872,2)</f>
        <v>0</v>
      </c>
      <c r="AX872" s="25">
        <f>ROUND(F872*AP872,2)</f>
        <v>0</v>
      </c>
      <c r="AY872" s="27" t="s">
        <v>2563</v>
      </c>
      <c r="AZ872" s="27" t="s">
        <v>2541</v>
      </c>
      <c r="BA872" s="11" t="s">
        <v>56</v>
      </c>
      <c r="BC872" s="25">
        <f>AW872+AX872</f>
        <v>0</v>
      </c>
      <c r="BD872" s="25">
        <f>G872/(100-BE872)*100</f>
        <v>0</v>
      </c>
      <c r="BE872" s="25">
        <v>0</v>
      </c>
      <c r="BF872" s="25">
        <f>872</f>
        <v>872</v>
      </c>
      <c r="BH872" s="25">
        <f>F872*AO872</f>
        <v>0</v>
      </c>
      <c r="BI872" s="25">
        <f>F872*AP872</f>
        <v>0</v>
      </c>
      <c r="BJ872" s="25">
        <f>F872*G872</f>
        <v>0</v>
      </c>
      <c r="BK872" s="27" t="s">
        <v>57</v>
      </c>
      <c r="BL872" s="25"/>
      <c r="BR872" s="25">
        <f>F872*G872</f>
        <v>0</v>
      </c>
      <c r="BW872" s="25">
        <v>21</v>
      </c>
      <c r="BX872" s="5" t="s">
        <v>2560</v>
      </c>
    </row>
    <row r="873" spans="1:76" x14ac:dyDescent="0.25">
      <c r="A873" s="28" t="s">
        <v>46</v>
      </c>
      <c r="B873" s="29" t="s">
        <v>2564</v>
      </c>
      <c r="C873" s="150" t="s">
        <v>2565</v>
      </c>
      <c r="D873" s="151"/>
      <c r="E873" s="30" t="s">
        <v>4</v>
      </c>
      <c r="F873" s="30" t="s">
        <v>4</v>
      </c>
      <c r="G873" s="30" t="s">
        <v>4</v>
      </c>
      <c r="H873" s="1">
        <f>ROUND(SUM(H874:H874),1)</f>
        <v>0</v>
      </c>
      <c r="I873" s="1">
        <f>ROUND(SUM(I874:I874),1)</f>
        <v>0</v>
      </c>
      <c r="J873" s="1">
        <f>ROUND(SUM(J874:J874),1)</f>
        <v>0</v>
      </c>
      <c r="K873" s="31" t="s">
        <v>46</v>
      </c>
      <c r="AI873" s="11" t="s">
        <v>46</v>
      </c>
      <c r="AS873" s="1">
        <f>SUM(AJ874:AJ874)</f>
        <v>0</v>
      </c>
      <c r="AT873" s="1">
        <f>SUM(AK874:AK874)</f>
        <v>0</v>
      </c>
      <c r="AU873" s="1">
        <f>SUM(AL874:AL874)</f>
        <v>0</v>
      </c>
    </row>
    <row r="874" spans="1:76" x14ac:dyDescent="0.25">
      <c r="A874" s="32" t="s">
        <v>2566</v>
      </c>
      <c r="B874" s="33" t="s">
        <v>2567</v>
      </c>
      <c r="C874" s="152" t="s">
        <v>2565</v>
      </c>
      <c r="D874" s="130"/>
      <c r="E874" s="33" t="s">
        <v>52</v>
      </c>
      <c r="F874" s="34">
        <v>1</v>
      </c>
      <c r="G874" s="34">
        <v>0</v>
      </c>
      <c r="H874" s="34">
        <f>ROUND(F874*AO874,2)</f>
        <v>0</v>
      </c>
      <c r="I874" s="34">
        <f>ROUND(F874*AP874,2)</f>
        <v>0</v>
      </c>
      <c r="J874" s="34">
        <f>ROUND(F874*G874,1)</f>
        <v>0</v>
      </c>
      <c r="K874" s="35" t="s">
        <v>53</v>
      </c>
      <c r="Z874" s="25">
        <f>ROUND(IF(AQ874="5",BJ874,0),2)</f>
        <v>0</v>
      </c>
      <c r="AB874" s="25">
        <f>ROUND(IF(AQ874="1",BH874,0),2)</f>
        <v>0</v>
      </c>
      <c r="AC874" s="25">
        <f>ROUND(IF(AQ874="1",BI874,0),2)</f>
        <v>0</v>
      </c>
      <c r="AD874" s="25">
        <f>ROUND(IF(AQ874="7",BH874,0),2)</f>
        <v>0</v>
      </c>
      <c r="AE874" s="25">
        <f>ROUND(IF(AQ874="7",BI874,0),2)</f>
        <v>0</v>
      </c>
      <c r="AF874" s="25">
        <f>ROUND(IF(AQ874="2",BH874,0),2)</f>
        <v>0</v>
      </c>
      <c r="AG874" s="25">
        <f>ROUND(IF(AQ874="2",BI874,0),2)</f>
        <v>0</v>
      </c>
      <c r="AH874" s="25">
        <f>ROUND(IF(AQ874="0",BJ874,0),2)</f>
        <v>0</v>
      </c>
      <c r="AI874" s="11" t="s">
        <v>46</v>
      </c>
      <c r="AJ874" s="25">
        <f>IF(AN874=0,J874,0)</f>
        <v>0</v>
      </c>
      <c r="AK874" s="25">
        <f>IF(AN874=12,J874,0)</f>
        <v>0</v>
      </c>
      <c r="AL874" s="25">
        <f>IF(AN874=21,J874,0)</f>
        <v>0</v>
      </c>
      <c r="AN874" s="25">
        <v>21</v>
      </c>
      <c r="AO874" s="25">
        <f>G874*0</f>
        <v>0</v>
      </c>
      <c r="AP874" s="25">
        <f>G874*(1-0)</f>
        <v>0</v>
      </c>
      <c r="AQ874" s="27" t="s">
        <v>378</v>
      </c>
      <c r="AV874" s="25">
        <f>ROUND(AW874+AX874,2)</f>
        <v>0</v>
      </c>
      <c r="AW874" s="25">
        <f>ROUND(F874*AO874,2)</f>
        <v>0</v>
      </c>
      <c r="AX874" s="25">
        <f>ROUND(F874*AP874,2)</f>
        <v>0</v>
      </c>
      <c r="AY874" s="27" t="s">
        <v>2568</v>
      </c>
      <c r="AZ874" s="27" t="s">
        <v>2541</v>
      </c>
      <c r="BA874" s="11" t="s">
        <v>56</v>
      </c>
      <c r="BC874" s="25">
        <f>AW874+AX874</f>
        <v>0</v>
      </c>
      <c r="BD874" s="25">
        <f>G874/(100-BE874)*100</f>
        <v>0</v>
      </c>
      <c r="BE874" s="25">
        <v>0</v>
      </c>
      <c r="BF874" s="25">
        <f>874</f>
        <v>874</v>
      </c>
      <c r="BH874" s="25">
        <f>F874*AO874</f>
        <v>0</v>
      </c>
      <c r="BI874" s="25">
        <f>F874*AP874</f>
        <v>0</v>
      </c>
      <c r="BJ874" s="25">
        <f>F874*G874</f>
        <v>0</v>
      </c>
      <c r="BK874" s="27" t="s">
        <v>57</v>
      </c>
      <c r="BL874" s="25"/>
      <c r="BS874" s="25">
        <f>F874*G874</f>
        <v>0</v>
      </c>
      <c r="BW874" s="25">
        <v>21</v>
      </c>
      <c r="BX874" s="5" t="s">
        <v>2565</v>
      </c>
    </row>
    <row r="875" spans="1:76" x14ac:dyDescent="0.25">
      <c r="H875" s="149" t="s">
        <v>2569</v>
      </c>
      <c r="I875" s="149"/>
      <c r="J875" s="36">
        <f>ROUND(SUM(J12,J23,J58,J66,J79,J83,J89,J94,J100,J103,J110,J142,J155,J173,J175,J180,J188,J273,J337,J409,J471,J475,J480,J511,J546,J557,J569,J578,J590,J602,J609,J707,J746,J766,J786,J801,J816,J829,J863,J866,J868,J871,J873),1)</f>
        <v>0</v>
      </c>
    </row>
    <row r="876" spans="1:76" x14ac:dyDescent="0.25">
      <c r="A876" s="37" t="s">
        <v>2570</v>
      </c>
    </row>
    <row r="877" spans="1:76" ht="12.75" customHeight="1" x14ac:dyDescent="0.25">
      <c r="A877" s="93" t="s">
        <v>46</v>
      </c>
      <c r="B877" s="94"/>
      <c r="C877" s="94"/>
      <c r="D877" s="94"/>
      <c r="E877" s="94"/>
      <c r="F877" s="94"/>
      <c r="G877" s="94"/>
      <c r="H877" s="94"/>
      <c r="I877" s="94"/>
      <c r="J877" s="94"/>
      <c r="K877" s="94"/>
    </row>
  </sheetData>
  <mergeCells count="893"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C11:D11"/>
    <mergeCell ref="H10:J10"/>
    <mergeCell ref="C12:D12"/>
    <mergeCell ref="C13:D13"/>
    <mergeCell ref="C14:D14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80:D80"/>
    <mergeCell ref="C81:D81"/>
    <mergeCell ref="C82:D82"/>
    <mergeCell ref="C83:D83"/>
    <mergeCell ref="C84:D84"/>
    <mergeCell ref="C75:D75"/>
    <mergeCell ref="C76:D76"/>
    <mergeCell ref="C77:D77"/>
    <mergeCell ref="C78:D78"/>
    <mergeCell ref="C79:D79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110:D110"/>
    <mergeCell ref="C111:D111"/>
    <mergeCell ref="C112:D112"/>
    <mergeCell ref="C113:D113"/>
    <mergeCell ref="C114:D114"/>
    <mergeCell ref="C105:D105"/>
    <mergeCell ref="C106:D106"/>
    <mergeCell ref="C107:D107"/>
    <mergeCell ref="C108:D108"/>
    <mergeCell ref="C109:D109"/>
    <mergeCell ref="C120:D120"/>
    <mergeCell ref="C121:D121"/>
    <mergeCell ref="C122:D122"/>
    <mergeCell ref="C123:D123"/>
    <mergeCell ref="C124:D124"/>
    <mergeCell ref="C115:D115"/>
    <mergeCell ref="C116:D116"/>
    <mergeCell ref="C117:D117"/>
    <mergeCell ref="C118:D118"/>
    <mergeCell ref="C119:D119"/>
    <mergeCell ref="C130:D130"/>
    <mergeCell ref="C131:D131"/>
    <mergeCell ref="C132:D132"/>
    <mergeCell ref="C133:D133"/>
    <mergeCell ref="C134:D134"/>
    <mergeCell ref="C125:D125"/>
    <mergeCell ref="C126:D126"/>
    <mergeCell ref="C127:D127"/>
    <mergeCell ref="C128:D128"/>
    <mergeCell ref="C129:D129"/>
    <mergeCell ref="C140:D140"/>
    <mergeCell ref="C141:D141"/>
    <mergeCell ref="C142:D142"/>
    <mergeCell ref="C143:D143"/>
    <mergeCell ref="C144:D144"/>
    <mergeCell ref="C135:D135"/>
    <mergeCell ref="C136:D136"/>
    <mergeCell ref="C137:D137"/>
    <mergeCell ref="C138:D138"/>
    <mergeCell ref="C139:D139"/>
    <mergeCell ref="C150:D150"/>
    <mergeCell ref="C151:D151"/>
    <mergeCell ref="C152:D152"/>
    <mergeCell ref="C153:D153"/>
    <mergeCell ref="C154:D154"/>
    <mergeCell ref="C145:D145"/>
    <mergeCell ref="C146:D146"/>
    <mergeCell ref="C147:D147"/>
    <mergeCell ref="C148:D148"/>
    <mergeCell ref="C149:D149"/>
    <mergeCell ref="C160:D160"/>
    <mergeCell ref="C161:D161"/>
    <mergeCell ref="C162:D162"/>
    <mergeCell ref="C163:D163"/>
    <mergeCell ref="C164:D164"/>
    <mergeCell ref="C155:D155"/>
    <mergeCell ref="C156:D156"/>
    <mergeCell ref="C157:D157"/>
    <mergeCell ref="C158:D158"/>
    <mergeCell ref="C159:D159"/>
    <mergeCell ref="C170:D170"/>
    <mergeCell ref="C171:D171"/>
    <mergeCell ref="C172:D172"/>
    <mergeCell ref="C173:D173"/>
    <mergeCell ref="C174:D174"/>
    <mergeCell ref="C165:D165"/>
    <mergeCell ref="C166:D166"/>
    <mergeCell ref="C167:D167"/>
    <mergeCell ref="C168:D168"/>
    <mergeCell ref="C169:D169"/>
    <mergeCell ref="C180:D180"/>
    <mergeCell ref="C181:D181"/>
    <mergeCell ref="C182:D182"/>
    <mergeCell ref="C183:D183"/>
    <mergeCell ref="C184:D184"/>
    <mergeCell ref="C175:D175"/>
    <mergeCell ref="C176:D176"/>
    <mergeCell ref="C177:D177"/>
    <mergeCell ref="C178:D178"/>
    <mergeCell ref="C179:D179"/>
    <mergeCell ref="C190:D190"/>
    <mergeCell ref="C191:D191"/>
    <mergeCell ref="C192:D192"/>
    <mergeCell ref="C193:D193"/>
    <mergeCell ref="C194:D194"/>
    <mergeCell ref="C185:D185"/>
    <mergeCell ref="C186:D186"/>
    <mergeCell ref="C187:D187"/>
    <mergeCell ref="C188:D188"/>
    <mergeCell ref="C189:D189"/>
    <mergeCell ref="C200:D200"/>
    <mergeCell ref="C201:D201"/>
    <mergeCell ref="C202:D202"/>
    <mergeCell ref="C203:D203"/>
    <mergeCell ref="C204:D204"/>
    <mergeCell ref="C195:D195"/>
    <mergeCell ref="C196:D196"/>
    <mergeCell ref="C197:D197"/>
    <mergeCell ref="C198:D198"/>
    <mergeCell ref="C199:D199"/>
    <mergeCell ref="C210:D210"/>
    <mergeCell ref="C211:D211"/>
    <mergeCell ref="C212:D212"/>
    <mergeCell ref="C213:D213"/>
    <mergeCell ref="C214:D214"/>
    <mergeCell ref="C205:D205"/>
    <mergeCell ref="C206:D206"/>
    <mergeCell ref="C207:D207"/>
    <mergeCell ref="C208:D208"/>
    <mergeCell ref="C209:D209"/>
    <mergeCell ref="C220:D220"/>
    <mergeCell ref="C221:D221"/>
    <mergeCell ref="C222:D222"/>
    <mergeCell ref="C223:D223"/>
    <mergeCell ref="C224:D224"/>
    <mergeCell ref="C215:D215"/>
    <mergeCell ref="C216:D216"/>
    <mergeCell ref="C217:D217"/>
    <mergeCell ref="C218:D218"/>
    <mergeCell ref="C219:D219"/>
    <mergeCell ref="C230:D230"/>
    <mergeCell ref="C231:D231"/>
    <mergeCell ref="C232:D232"/>
    <mergeCell ref="C233:D233"/>
    <mergeCell ref="C234:D234"/>
    <mergeCell ref="C225:D225"/>
    <mergeCell ref="C226:D226"/>
    <mergeCell ref="C227:D227"/>
    <mergeCell ref="C228:D228"/>
    <mergeCell ref="C229:D229"/>
    <mergeCell ref="C240:D240"/>
    <mergeCell ref="C241:D241"/>
    <mergeCell ref="C242:D242"/>
    <mergeCell ref="C243:D243"/>
    <mergeCell ref="C244:D244"/>
    <mergeCell ref="C235:D235"/>
    <mergeCell ref="C236:D236"/>
    <mergeCell ref="C237:D237"/>
    <mergeCell ref="C238:D238"/>
    <mergeCell ref="C239:D239"/>
    <mergeCell ref="C250:D250"/>
    <mergeCell ref="C251:D251"/>
    <mergeCell ref="C252:D252"/>
    <mergeCell ref="C253:D253"/>
    <mergeCell ref="C254:D254"/>
    <mergeCell ref="C245:D245"/>
    <mergeCell ref="C246:D246"/>
    <mergeCell ref="C247:D247"/>
    <mergeCell ref="C248:D248"/>
    <mergeCell ref="C249:D249"/>
    <mergeCell ref="C260:D260"/>
    <mergeCell ref="C261:D261"/>
    <mergeCell ref="C262:D262"/>
    <mergeCell ref="C263:D263"/>
    <mergeCell ref="C264:D264"/>
    <mergeCell ref="C255:D255"/>
    <mergeCell ref="C256:D256"/>
    <mergeCell ref="C257:D257"/>
    <mergeCell ref="C258:D258"/>
    <mergeCell ref="C259:D259"/>
    <mergeCell ref="C270:D270"/>
    <mergeCell ref="C271:D271"/>
    <mergeCell ref="C272:D272"/>
    <mergeCell ref="C273:D273"/>
    <mergeCell ref="C274:D274"/>
    <mergeCell ref="C265:D265"/>
    <mergeCell ref="C266:D266"/>
    <mergeCell ref="C267:D267"/>
    <mergeCell ref="C268:D268"/>
    <mergeCell ref="C269:D269"/>
    <mergeCell ref="C280:D280"/>
    <mergeCell ref="C281:D281"/>
    <mergeCell ref="C282:D282"/>
    <mergeCell ref="C283:D283"/>
    <mergeCell ref="C284:D284"/>
    <mergeCell ref="C275:D275"/>
    <mergeCell ref="C276:D276"/>
    <mergeCell ref="C277:D277"/>
    <mergeCell ref="C278:D278"/>
    <mergeCell ref="C279:D279"/>
    <mergeCell ref="C290:D290"/>
    <mergeCell ref="C291:D291"/>
    <mergeCell ref="C292:D292"/>
    <mergeCell ref="C293:D293"/>
    <mergeCell ref="C294:D294"/>
    <mergeCell ref="C285:D285"/>
    <mergeCell ref="C286:D286"/>
    <mergeCell ref="C287:D287"/>
    <mergeCell ref="C288:D288"/>
    <mergeCell ref="C289:D289"/>
    <mergeCell ref="C300:D300"/>
    <mergeCell ref="C301:D301"/>
    <mergeCell ref="C302:D302"/>
    <mergeCell ref="C303:D303"/>
    <mergeCell ref="C304:D304"/>
    <mergeCell ref="C295:D295"/>
    <mergeCell ref="C296:D296"/>
    <mergeCell ref="C297:D297"/>
    <mergeCell ref="C298:D298"/>
    <mergeCell ref="C299:D299"/>
    <mergeCell ref="C310:D310"/>
    <mergeCell ref="C311:D311"/>
    <mergeCell ref="C312:D312"/>
    <mergeCell ref="C313:D313"/>
    <mergeCell ref="C314:D314"/>
    <mergeCell ref="C305:D305"/>
    <mergeCell ref="C306:D306"/>
    <mergeCell ref="C307:D307"/>
    <mergeCell ref="C308:D308"/>
    <mergeCell ref="C309:D309"/>
    <mergeCell ref="C320:D320"/>
    <mergeCell ref="C321:D321"/>
    <mergeCell ref="C322:D322"/>
    <mergeCell ref="C323:D323"/>
    <mergeCell ref="C324:D324"/>
    <mergeCell ref="C315:D315"/>
    <mergeCell ref="C316:D316"/>
    <mergeCell ref="C317:D317"/>
    <mergeCell ref="C318:D318"/>
    <mergeCell ref="C319:D319"/>
    <mergeCell ref="C330:D330"/>
    <mergeCell ref="C331:D331"/>
    <mergeCell ref="C332:D332"/>
    <mergeCell ref="C333:D333"/>
    <mergeCell ref="C334:D334"/>
    <mergeCell ref="C325:D325"/>
    <mergeCell ref="C326:D326"/>
    <mergeCell ref="C327:D327"/>
    <mergeCell ref="C328:D328"/>
    <mergeCell ref="C329:D329"/>
    <mergeCell ref="C340:D340"/>
    <mergeCell ref="C341:D341"/>
    <mergeCell ref="C342:D342"/>
    <mergeCell ref="C343:D343"/>
    <mergeCell ref="C344:D344"/>
    <mergeCell ref="C335:D335"/>
    <mergeCell ref="C336:D336"/>
    <mergeCell ref="C337:D337"/>
    <mergeCell ref="C338:D338"/>
    <mergeCell ref="C339:D339"/>
    <mergeCell ref="C350:D350"/>
    <mergeCell ref="C351:D351"/>
    <mergeCell ref="C352:D352"/>
    <mergeCell ref="C353:D353"/>
    <mergeCell ref="C354:D354"/>
    <mergeCell ref="C345:D345"/>
    <mergeCell ref="C346:D346"/>
    <mergeCell ref="C347:D347"/>
    <mergeCell ref="C348:D348"/>
    <mergeCell ref="C349:D349"/>
    <mergeCell ref="C360:D360"/>
    <mergeCell ref="C361:D361"/>
    <mergeCell ref="C362:D362"/>
    <mergeCell ref="C363:D363"/>
    <mergeCell ref="C364:D364"/>
    <mergeCell ref="C355:D355"/>
    <mergeCell ref="C356:D356"/>
    <mergeCell ref="C357:D357"/>
    <mergeCell ref="C358:D358"/>
    <mergeCell ref="C359:D359"/>
    <mergeCell ref="C370:D370"/>
    <mergeCell ref="C371:D371"/>
    <mergeCell ref="C372:D372"/>
    <mergeCell ref="C373:D373"/>
    <mergeCell ref="C374:D374"/>
    <mergeCell ref="C365:D365"/>
    <mergeCell ref="C366:D366"/>
    <mergeCell ref="C367:D367"/>
    <mergeCell ref="C368:D368"/>
    <mergeCell ref="C369:D369"/>
    <mergeCell ref="C380:D380"/>
    <mergeCell ref="C381:D381"/>
    <mergeCell ref="C382:D382"/>
    <mergeCell ref="C383:D383"/>
    <mergeCell ref="C384:D384"/>
    <mergeCell ref="C375:D375"/>
    <mergeCell ref="C376:D376"/>
    <mergeCell ref="C377:D377"/>
    <mergeCell ref="C378:D378"/>
    <mergeCell ref="C379:D379"/>
    <mergeCell ref="C390:D390"/>
    <mergeCell ref="C391:D391"/>
    <mergeCell ref="C392:D392"/>
    <mergeCell ref="C393:D393"/>
    <mergeCell ref="C394:D394"/>
    <mergeCell ref="C385:D385"/>
    <mergeCell ref="C386:D386"/>
    <mergeCell ref="C387:D387"/>
    <mergeCell ref="C388:D388"/>
    <mergeCell ref="C389:D389"/>
    <mergeCell ref="C400:D400"/>
    <mergeCell ref="C401:D401"/>
    <mergeCell ref="C402:D402"/>
    <mergeCell ref="C403:D403"/>
    <mergeCell ref="C404:D404"/>
    <mergeCell ref="C395:D395"/>
    <mergeCell ref="C396:D396"/>
    <mergeCell ref="C397:D397"/>
    <mergeCell ref="C398:D398"/>
    <mergeCell ref="C399:D399"/>
    <mergeCell ref="C410:D410"/>
    <mergeCell ref="C411:D411"/>
    <mergeCell ref="C412:D412"/>
    <mergeCell ref="C413:D413"/>
    <mergeCell ref="C414:D414"/>
    <mergeCell ref="C405:D405"/>
    <mergeCell ref="C406:D406"/>
    <mergeCell ref="C407:D407"/>
    <mergeCell ref="C408:D408"/>
    <mergeCell ref="C409:D409"/>
    <mergeCell ref="C420:D420"/>
    <mergeCell ref="C421:D421"/>
    <mergeCell ref="C422:D422"/>
    <mergeCell ref="C423:D423"/>
    <mergeCell ref="C424:D424"/>
    <mergeCell ref="C415:D415"/>
    <mergeCell ref="C416:D416"/>
    <mergeCell ref="C417:D417"/>
    <mergeCell ref="C418:D418"/>
    <mergeCell ref="C419:D419"/>
    <mergeCell ref="C430:D430"/>
    <mergeCell ref="C431:D431"/>
    <mergeCell ref="C432:D432"/>
    <mergeCell ref="C433:D433"/>
    <mergeCell ref="C434:D434"/>
    <mergeCell ref="C425:D425"/>
    <mergeCell ref="C426:D426"/>
    <mergeCell ref="C427:D427"/>
    <mergeCell ref="C428:D428"/>
    <mergeCell ref="C429:D429"/>
    <mergeCell ref="C440:D440"/>
    <mergeCell ref="C441:D441"/>
    <mergeCell ref="C442:D442"/>
    <mergeCell ref="C443:D443"/>
    <mergeCell ref="C444:D444"/>
    <mergeCell ref="C435:D435"/>
    <mergeCell ref="C436:D436"/>
    <mergeCell ref="C437:D437"/>
    <mergeCell ref="C438:D438"/>
    <mergeCell ref="C439:D439"/>
    <mergeCell ref="C450:D450"/>
    <mergeCell ref="C451:D451"/>
    <mergeCell ref="C452:D452"/>
    <mergeCell ref="C453:D453"/>
    <mergeCell ref="C454:D454"/>
    <mergeCell ref="C445:D445"/>
    <mergeCell ref="C446:D446"/>
    <mergeCell ref="C447:D447"/>
    <mergeCell ref="C448:D448"/>
    <mergeCell ref="C449:D449"/>
    <mergeCell ref="C460:D460"/>
    <mergeCell ref="C461:D461"/>
    <mergeCell ref="C462:D462"/>
    <mergeCell ref="C463:D463"/>
    <mergeCell ref="C464:D464"/>
    <mergeCell ref="C455:D455"/>
    <mergeCell ref="C456:D456"/>
    <mergeCell ref="C457:D457"/>
    <mergeCell ref="C458:D458"/>
    <mergeCell ref="C459:D459"/>
    <mergeCell ref="C470:D470"/>
    <mergeCell ref="C471:D471"/>
    <mergeCell ref="C472:D472"/>
    <mergeCell ref="C473:D473"/>
    <mergeCell ref="C474:D474"/>
    <mergeCell ref="C465:D465"/>
    <mergeCell ref="C466:D466"/>
    <mergeCell ref="C467:D467"/>
    <mergeCell ref="C468:D468"/>
    <mergeCell ref="C469:D469"/>
    <mergeCell ref="C480:D480"/>
    <mergeCell ref="C481:D481"/>
    <mergeCell ref="C482:D482"/>
    <mergeCell ref="C483:D483"/>
    <mergeCell ref="C484:D484"/>
    <mergeCell ref="C475:D475"/>
    <mergeCell ref="C476:D476"/>
    <mergeCell ref="C477:D477"/>
    <mergeCell ref="C478:D478"/>
    <mergeCell ref="C479:D479"/>
    <mergeCell ref="C490:D490"/>
    <mergeCell ref="C491:D491"/>
    <mergeCell ref="C492:D492"/>
    <mergeCell ref="C493:D493"/>
    <mergeCell ref="C494:D494"/>
    <mergeCell ref="C485:D485"/>
    <mergeCell ref="C486:D486"/>
    <mergeCell ref="C487:D487"/>
    <mergeCell ref="C488:D488"/>
    <mergeCell ref="C489:D489"/>
    <mergeCell ref="C500:D500"/>
    <mergeCell ref="C501:D501"/>
    <mergeCell ref="C502:D502"/>
    <mergeCell ref="C503:D503"/>
    <mergeCell ref="C504:D504"/>
    <mergeCell ref="C495:D495"/>
    <mergeCell ref="C496:D496"/>
    <mergeCell ref="C497:D497"/>
    <mergeCell ref="C498:D498"/>
    <mergeCell ref="C499:D499"/>
    <mergeCell ref="C510:D510"/>
    <mergeCell ref="C511:D511"/>
    <mergeCell ref="C512:D512"/>
    <mergeCell ref="C513:D513"/>
    <mergeCell ref="C514:D514"/>
    <mergeCell ref="C505:D505"/>
    <mergeCell ref="C506:D506"/>
    <mergeCell ref="C507:D507"/>
    <mergeCell ref="C508:D508"/>
    <mergeCell ref="C509:D509"/>
    <mergeCell ref="C520:D520"/>
    <mergeCell ref="C521:D521"/>
    <mergeCell ref="C522:D522"/>
    <mergeCell ref="C523:D523"/>
    <mergeCell ref="C524:D524"/>
    <mergeCell ref="C515:D515"/>
    <mergeCell ref="C516:D516"/>
    <mergeCell ref="C517:D517"/>
    <mergeCell ref="C518:D518"/>
    <mergeCell ref="C519:D519"/>
    <mergeCell ref="C530:D530"/>
    <mergeCell ref="C531:D531"/>
    <mergeCell ref="C532:D532"/>
    <mergeCell ref="C533:D533"/>
    <mergeCell ref="C534:D534"/>
    <mergeCell ref="C525:D525"/>
    <mergeCell ref="C526:D526"/>
    <mergeCell ref="C527:D527"/>
    <mergeCell ref="C528:D528"/>
    <mergeCell ref="C529:D529"/>
    <mergeCell ref="C540:D540"/>
    <mergeCell ref="C541:D541"/>
    <mergeCell ref="C542:D542"/>
    <mergeCell ref="C543:D543"/>
    <mergeCell ref="C544:D544"/>
    <mergeCell ref="C535:D535"/>
    <mergeCell ref="C536:D536"/>
    <mergeCell ref="C537:D537"/>
    <mergeCell ref="C538:D538"/>
    <mergeCell ref="C539:D539"/>
    <mergeCell ref="C550:D550"/>
    <mergeCell ref="C551:D551"/>
    <mergeCell ref="C552:D552"/>
    <mergeCell ref="C553:D553"/>
    <mergeCell ref="C554:D554"/>
    <mergeCell ref="C545:D545"/>
    <mergeCell ref="C546:D546"/>
    <mergeCell ref="C547:D547"/>
    <mergeCell ref="C548:D548"/>
    <mergeCell ref="C549:D549"/>
    <mergeCell ref="C560:D560"/>
    <mergeCell ref="C561:D561"/>
    <mergeCell ref="C562:D562"/>
    <mergeCell ref="C563:D563"/>
    <mergeCell ref="C564:D564"/>
    <mergeCell ref="C555:D555"/>
    <mergeCell ref="C556:D556"/>
    <mergeCell ref="C557:D557"/>
    <mergeCell ref="C558:D558"/>
    <mergeCell ref="C559:D559"/>
    <mergeCell ref="C570:D570"/>
    <mergeCell ref="C571:D571"/>
    <mergeCell ref="C572:D572"/>
    <mergeCell ref="C573:D573"/>
    <mergeCell ref="C574:D574"/>
    <mergeCell ref="C565:D565"/>
    <mergeCell ref="C566:D566"/>
    <mergeCell ref="C567:D567"/>
    <mergeCell ref="C568:D568"/>
    <mergeCell ref="C569:D569"/>
    <mergeCell ref="C580:D580"/>
    <mergeCell ref="C581:D581"/>
    <mergeCell ref="C582:D582"/>
    <mergeCell ref="C583:D583"/>
    <mergeCell ref="C584:D584"/>
    <mergeCell ref="C575:D575"/>
    <mergeCell ref="C576:D576"/>
    <mergeCell ref="C577:D577"/>
    <mergeCell ref="C578:D578"/>
    <mergeCell ref="C579:D579"/>
    <mergeCell ref="C590:D590"/>
    <mergeCell ref="C591:D591"/>
    <mergeCell ref="C592:D592"/>
    <mergeCell ref="C593:D593"/>
    <mergeCell ref="C594:D594"/>
    <mergeCell ref="C585:D585"/>
    <mergeCell ref="C586:D586"/>
    <mergeCell ref="C587:D587"/>
    <mergeCell ref="C588:D588"/>
    <mergeCell ref="C589:D589"/>
    <mergeCell ref="C600:D600"/>
    <mergeCell ref="C601:D601"/>
    <mergeCell ref="C602:D602"/>
    <mergeCell ref="C603:D603"/>
    <mergeCell ref="C604:D604"/>
    <mergeCell ref="C595:D595"/>
    <mergeCell ref="C596:D596"/>
    <mergeCell ref="C597:D597"/>
    <mergeCell ref="C598:D598"/>
    <mergeCell ref="C599:D599"/>
    <mergeCell ref="C610:D610"/>
    <mergeCell ref="C611:D611"/>
    <mergeCell ref="C612:D612"/>
    <mergeCell ref="C613:D613"/>
    <mergeCell ref="C614:D614"/>
    <mergeCell ref="C605:D605"/>
    <mergeCell ref="C606:D606"/>
    <mergeCell ref="C607:D607"/>
    <mergeCell ref="C608:D608"/>
    <mergeCell ref="C609:D609"/>
    <mergeCell ref="C620:D620"/>
    <mergeCell ref="C621:D621"/>
    <mergeCell ref="C622:D622"/>
    <mergeCell ref="C623:D623"/>
    <mergeCell ref="C624:D624"/>
    <mergeCell ref="C615:D615"/>
    <mergeCell ref="C616:D616"/>
    <mergeCell ref="C617:D617"/>
    <mergeCell ref="C618:D618"/>
    <mergeCell ref="C619:D619"/>
    <mergeCell ref="C630:D630"/>
    <mergeCell ref="C631:D631"/>
    <mergeCell ref="C632:D632"/>
    <mergeCell ref="C633:D633"/>
    <mergeCell ref="C634:D634"/>
    <mergeCell ref="C625:D625"/>
    <mergeCell ref="C626:D626"/>
    <mergeCell ref="C627:D627"/>
    <mergeCell ref="C628:D628"/>
    <mergeCell ref="C629:D629"/>
    <mergeCell ref="C640:D640"/>
    <mergeCell ref="C641:D641"/>
    <mergeCell ref="C642:D642"/>
    <mergeCell ref="C643:D643"/>
    <mergeCell ref="C644:D644"/>
    <mergeCell ref="C635:D635"/>
    <mergeCell ref="C636:D636"/>
    <mergeCell ref="C637:D637"/>
    <mergeCell ref="C638:D638"/>
    <mergeCell ref="C639:D639"/>
    <mergeCell ref="C650:D650"/>
    <mergeCell ref="C651:D651"/>
    <mergeCell ref="C652:D652"/>
    <mergeCell ref="C653:D653"/>
    <mergeCell ref="C654:D654"/>
    <mergeCell ref="C645:D645"/>
    <mergeCell ref="C646:D646"/>
    <mergeCell ref="C647:D647"/>
    <mergeCell ref="C648:D648"/>
    <mergeCell ref="C649:D649"/>
    <mergeCell ref="C660:D660"/>
    <mergeCell ref="C661:D661"/>
    <mergeCell ref="C662:D662"/>
    <mergeCell ref="C663:D663"/>
    <mergeCell ref="C664:D664"/>
    <mergeCell ref="C655:D655"/>
    <mergeCell ref="C656:D656"/>
    <mergeCell ref="C657:D657"/>
    <mergeCell ref="C658:D658"/>
    <mergeCell ref="C659:D659"/>
    <mergeCell ref="C670:D670"/>
    <mergeCell ref="C671:D671"/>
    <mergeCell ref="C672:D672"/>
    <mergeCell ref="C673:D673"/>
    <mergeCell ref="C674:D674"/>
    <mergeCell ref="C665:D665"/>
    <mergeCell ref="C666:D666"/>
    <mergeCell ref="C667:D667"/>
    <mergeCell ref="C668:D668"/>
    <mergeCell ref="C669:D669"/>
    <mergeCell ref="C680:D680"/>
    <mergeCell ref="C681:D681"/>
    <mergeCell ref="C682:D682"/>
    <mergeCell ref="C683:D683"/>
    <mergeCell ref="C684:D684"/>
    <mergeCell ref="C675:D675"/>
    <mergeCell ref="C676:D676"/>
    <mergeCell ref="C677:D677"/>
    <mergeCell ref="C678:D678"/>
    <mergeCell ref="C679:D679"/>
    <mergeCell ref="C690:D690"/>
    <mergeCell ref="C691:D691"/>
    <mergeCell ref="C692:D692"/>
    <mergeCell ref="C693:D693"/>
    <mergeCell ref="C694:D694"/>
    <mergeCell ref="C685:D685"/>
    <mergeCell ref="C686:D686"/>
    <mergeCell ref="C687:D687"/>
    <mergeCell ref="C688:D688"/>
    <mergeCell ref="C689:D689"/>
    <mergeCell ref="C700:D700"/>
    <mergeCell ref="C701:D701"/>
    <mergeCell ref="C702:D702"/>
    <mergeCell ref="C703:D703"/>
    <mergeCell ref="C704:D704"/>
    <mergeCell ref="C695:D695"/>
    <mergeCell ref="C696:D696"/>
    <mergeCell ref="C697:D697"/>
    <mergeCell ref="C698:D698"/>
    <mergeCell ref="C699:D699"/>
    <mergeCell ref="C710:D710"/>
    <mergeCell ref="C711:D711"/>
    <mergeCell ref="C712:D712"/>
    <mergeCell ref="C713:D713"/>
    <mergeCell ref="C714:D714"/>
    <mergeCell ref="C705:D705"/>
    <mergeCell ref="C706:D706"/>
    <mergeCell ref="C707:D707"/>
    <mergeCell ref="C708:D708"/>
    <mergeCell ref="C709:D709"/>
    <mergeCell ref="C720:D720"/>
    <mergeCell ref="C721:D721"/>
    <mergeCell ref="C722:D722"/>
    <mergeCell ref="C723:D723"/>
    <mergeCell ref="C724:D724"/>
    <mergeCell ref="C715:D715"/>
    <mergeCell ref="C716:D716"/>
    <mergeCell ref="C717:D717"/>
    <mergeCell ref="C718:D718"/>
    <mergeCell ref="C719:D719"/>
    <mergeCell ref="C730:D730"/>
    <mergeCell ref="C731:D731"/>
    <mergeCell ref="C732:D732"/>
    <mergeCell ref="C733:D733"/>
    <mergeCell ref="C734:D734"/>
    <mergeCell ref="C725:D725"/>
    <mergeCell ref="C726:D726"/>
    <mergeCell ref="C727:D727"/>
    <mergeCell ref="C728:D728"/>
    <mergeCell ref="C729:D729"/>
    <mergeCell ref="C740:D740"/>
    <mergeCell ref="C741:D741"/>
    <mergeCell ref="C742:D742"/>
    <mergeCell ref="C743:D743"/>
    <mergeCell ref="C744:D744"/>
    <mergeCell ref="C735:D735"/>
    <mergeCell ref="C736:D736"/>
    <mergeCell ref="C737:D737"/>
    <mergeCell ref="C738:D738"/>
    <mergeCell ref="C739:D739"/>
    <mergeCell ref="C750:D750"/>
    <mergeCell ref="C751:D751"/>
    <mergeCell ref="C752:D752"/>
    <mergeCell ref="C753:D753"/>
    <mergeCell ref="C754:D754"/>
    <mergeCell ref="C745:D745"/>
    <mergeCell ref="C746:D746"/>
    <mergeCell ref="C747:D747"/>
    <mergeCell ref="C748:D748"/>
    <mergeCell ref="C749:D749"/>
    <mergeCell ref="C760:D760"/>
    <mergeCell ref="C761:D761"/>
    <mergeCell ref="C762:D762"/>
    <mergeCell ref="C763:D763"/>
    <mergeCell ref="C764:D764"/>
    <mergeCell ref="C755:D755"/>
    <mergeCell ref="C756:D756"/>
    <mergeCell ref="C757:D757"/>
    <mergeCell ref="C758:D758"/>
    <mergeCell ref="C759:D759"/>
    <mergeCell ref="C770:D770"/>
    <mergeCell ref="C771:D771"/>
    <mergeCell ref="C772:D772"/>
    <mergeCell ref="C773:D773"/>
    <mergeCell ref="C774:D774"/>
    <mergeCell ref="C765:D765"/>
    <mergeCell ref="C766:D766"/>
    <mergeCell ref="C767:D767"/>
    <mergeCell ref="C768:D768"/>
    <mergeCell ref="C769:D769"/>
    <mergeCell ref="C780:D780"/>
    <mergeCell ref="C781:D781"/>
    <mergeCell ref="C782:D782"/>
    <mergeCell ref="C783:D783"/>
    <mergeCell ref="C784:D784"/>
    <mergeCell ref="C775:D775"/>
    <mergeCell ref="C776:D776"/>
    <mergeCell ref="C777:D777"/>
    <mergeCell ref="C778:D778"/>
    <mergeCell ref="C779:D779"/>
    <mergeCell ref="C790:D790"/>
    <mergeCell ref="C791:D791"/>
    <mergeCell ref="C792:D792"/>
    <mergeCell ref="C793:D793"/>
    <mergeCell ref="C794:D794"/>
    <mergeCell ref="C785:D785"/>
    <mergeCell ref="C786:D786"/>
    <mergeCell ref="C787:D787"/>
    <mergeCell ref="C788:D788"/>
    <mergeCell ref="C789:D789"/>
    <mergeCell ref="C800:D800"/>
    <mergeCell ref="C801:D801"/>
    <mergeCell ref="C802:D802"/>
    <mergeCell ref="C803:D803"/>
    <mergeCell ref="C804:D804"/>
    <mergeCell ref="C795:D795"/>
    <mergeCell ref="C796:D796"/>
    <mergeCell ref="C797:D797"/>
    <mergeCell ref="C798:D798"/>
    <mergeCell ref="C799:D799"/>
    <mergeCell ref="C810:D810"/>
    <mergeCell ref="C811:D811"/>
    <mergeCell ref="C812:D812"/>
    <mergeCell ref="C813:D813"/>
    <mergeCell ref="C814:D814"/>
    <mergeCell ref="C805:D805"/>
    <mergeCell ref="C806:D806"/>
    <mergeCell ref="C807:D807"/>
    <mergeCell ref="C808:D808"/>
    <mergeCell ref="C809:D809"/>
    <mergeCell ref="C820:D820"/>
    <mergeCell ref="C821:D821"/>
    <mergeCell ref="C822:D822"/>
    <mergeCell ref="C823:D823"/>
    <mergeCell ref="C824:D824"/>
    <mergeCell ref="C815:D815"/>
    <mergeCell ref="C816:D816"/>
    <mergeCell ref="C817:D817"/>
    <mergeCell ref="C818:D818"/>
    <mergeCell ref="C819:D819"/>
    <mergeCell ref="C830:D830"/>
    <mergeCell ref="C831:D831"/>
    <mergeCell ref="C832:D832"/>
    <mergeCell ref="C833:D833"/>
    <mergeCell ref="C834:D834"/>
    <mergeCell ref="C825:D825"/>
    <mergeCell ref="C826:D826"/>
    <mergeCell ref="C827:D827"/>
    <mergeCell ref="C828:D828"/>
    <mergeCell ref="C829:D829"/>
    <mergeCell ref="C840:D840"/>
    <mergeCell ref="C841:D841"/>
    <mergeCell ref="C842:D842"/>
    <mergeCell ref="C843:D843"/>
    <mergeCell ref="C844:D844"/>
    <mergeCell ref="C835:D835"/>
    <mergeCell ref="C836:D836"/>
    <mergeCell ref="C837:D837"/>
    <mergeCell ref="C838:D838"/>
    <mergeCell ref="C839:D839"/>
    <mergeCell ref="C850:D850"/>
    <mergeCell ref="C851:D851"/>
    <mergeCell ref="C852:D852"/>
    <mergeCell ref="C853:D853"/>
    <mergeCell ref="C854:D854"/>
    <mergeCell ref="C845:D845"/>
    <mergeCell ref="C846:D846"/>
    <mergeCell ref="C847:D847"/>
    <mergeCell ref="C848:D848"/>
    <mergeCell ref="C849:D849"/>
    <mergeCell ref="C860:D860"/>
    <mergeCell ref="C861:D861"/>
    <mergeCell ref="C862:D862"/>
    <mergeCell ref="C863:D863"/>
    <mergeCell ref="C864:D864"/>
    <mergeCell ref="C855:D855"/>
    <mergeCell ref="C856:D856"/>
    <mergeCell ref="C857:D857"/>
    <mergeCell ref="C858:D858"/>
    <mergeCell ref="C859:D859"/>
    <mergeCell ref="H875:I875"/>
    <mergeCell ref="A877:K877"/>
    <mergeCell ref="C870:D870"/>
    <mergeCell ref="C871:D871"/>
    <mergeCell ref="C872:D872"/>
    <mergeCell ref="C873:D873"/>
    <mergeCell ref="C874:D874"/>
    <mergeCell ref="C865:D865"/>
    <mergeCell ref="C866:D866"/>
    <mergeCell ref="C867:D867"/>
    <mergeCell ref="C868:D868"/>
    <mergeCell ref="C869:D869"/>
  </mergeCells>
  <pageMargins left="0.393999993801117" right="0.393999993801117" top="0.59100002050399802" bottom="0.59100002050399802" header="0" footer="0"/>
  <pageSetup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5"/>
  <sheetViews>
    <sheetView workbookViewId="0">
      <pane ySplit="11" topLeftCell="A12" activePane="bottomLeft" state="frozen"/>
      <selection pane="bottomLeft" activeCell="A25" sqref="A25:L25"/>
    </sheetView>
  </sheetViews>
  <sheetFormatPr defaultColWidth="12.140625" defaultRowHeight="15" customHeight="1" x14ac:dyDescent="0.25"/>
  <cols>
    <col min="1" max="1" width="5.7109375" customWidth="1"/>
    <col min="2" max="9" width="15.7109375" customWidth="1"/>
    <col min="10" max="12" width="14.28515625" customWidth="1"/>
    <col min="13" max="16" width="12.140625" hidden="1"/>
  </cols>
  <sheetData>
    <row r="1" spans="1:16" ht="54.75" customHeight="1" x14ac:dyDescent="0.25">
      <c r="A1" s="138" t="s">
        <v>2571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6" x14ac:dyDescent="0.25">
      <c r="A2" s="139" t="s">
        <v>1</v>
      </c>
      <c r="B2" s="140"/>
      <c r="C2" s="140"/>
      <c r="D2" s="134" t="str">
        <f>'Stavební rozpočet'!C2</f>
        <v>Modernizace 4.NP Hlavního pavilonu nemocnice Semily</v>
      </c>
      <c r="E2" s="135"/>
      <c r="F2" s="135"/>
      <c r="G2" s="131" t="s">
        <v>3</v>
      </c>
      <c r="H2" s="131" t="str">
        <f>'Stavební rozpočet'!G2</f>
        <v xml:space="preserve"> </v>
      </c>
      <c r="I2" s="131" t="s">
        <v>5</v>
      </c>
      <c r="J2" s="131" t="str">
        <f>'Stavební rozpočet'!I2</f>
        <v> </v>
      </c>
      <c r="K2" s="140"/>
      <c r="L2" s="142"/>
    </row>
    <row r="3" spans="1:16" ht="15" customHeight="1" x14ac:dyDescent="0.25">
      <c r="A3" s="141"/>
      <c r="B3" s="94"/>
      <c r="C3" s="94"/>
      <c r="D3" s="136"/>
      <c r="E3" s="136"/>
      <c r="F3" s="136"/>
      <c r="G3" s="94"/>
      <c r="H3" s="94"/>
      <c r="I3" s="94"/>
      <c r="J3" s="94"/>
      <c r="K3" s="94"/>
      <c r="L3" s="143"/>
    </row>
    <row r="4" spans="1:16" x14ac:dyDescent="0.25">
      <c r="A4" s="132" t="s">
        <v>7</v>
      </c>
      <c r="B4" s="94"/>
      <c r="C4" s="94"/>
      <c r="D4" s="93" t="str">
        <f>'Stavební rozpočet'!C4</f>
        <v xml:space="preserve"> </v>
      </c>
      <c r="E4" s="94"/>
      <c r="F4" s="94"/>
      <c r="G4" s="93" t="s">
        <v>8</v>
      </c>
      <c r="H4" s="93">
        <f>'Stavební rozpočet'!G4</f>
        <v>0</v>
      </c>
      <c r="I4" s="93" t="s">
        <v>9</v>
      </c>
      <c r="J4" s="93" t="str">
        <f>'Stavební rozpočet'!I4</f>
        <v> </v>
      </c>
      <c r="K4" s="94"/>
      <c r="L4" s="143"/>
    </row>
    <row r="5" spans="1:16" ht="15" customHeight="1" x14ac:dyDescent="0.25">
      <c r="A5" s="141"/>
      <c r="B5" s="94"/>
      <c r="C5" s="94"/>
      <c r="D5" s="94"/>
      <c r="E5" s="94"/>
      <c r="F5" s="94"/>
      <c r="G5" s="94"/>
      <c r="H5" s="94"/>
      <c r="I5" s="94"/>
      <c r="J5" s="94"/>
      <c r="K5" s="94"/>
      <c r="L5" s="143"/>
    </row>
    <row r="6" spans="1:16" x14ac:dyDescent="0.25">
      <c r="A6" s="132" t="s">
        <v>10</v>
      </c>
      <c r="B6" s="94"/>
      <c r="C6" s="94"/>
      <c r="D6" s="93" t="str">
        <f>'Stavební rozpočet'!C6</f>
        <v>p.p.č.519/1, k.ú.Semily (747246)  3.května č.p.421, 513 01 Semily, Česká republika</v>
      </c>
      <c r="E6" s="94"/>
      <c r="F6" s="94"/>
      <c r="G6" s="93" t="s">
        <v>12</v>
      </c>
      <c r="H6" s="93" t="str">
        <f>'Stavební rozpočet'!G6</f>
        <v xml:space="preserve"> </v>
      </c>
      <c r="I6" s="93" t="s">
        <v>13</v>
      </c>
      <c r="J6" s="93" t="str">
        <f>'Stavební rozpočet'!I6</f>
        <v> </v>
      </c>
      <c r="K6" s="94"/>
      <c r="L6" s="143"/>
    </row>
    <row r="7" spans="1:16" ht="15" customHeight="1" x14ac:dyDescent="0.25">
      <c r="A7" s="141"/>
      <c r="B7" s="94"/>
      <c r="C7" s="94"/>
      <c r="D7" s="94"/>
      <c r="E7" s="94"/>
      <c r="F7" s="94"/>
      <c r="G7" s="94"/>
      <c r="H7" s="94"/>
      <c r="I7" s="94"/>
      <c r="J7" s="94"/>
      <c r="K7" s="94"/>
      <c r="L7" s="143"/>
    </row>
    <row r="8" spans="1:16" x14ac:dyDescent="0.25">
      <c r="A8" s="132" t="s">
        <v>14</v>
      </c>
      <c r="B8" s="94"/>
      <c r="C8" s="94"/>
      <c r="D8" s="93" t="str">
        <f>'Stavební rozpočet'!C8</f>
        <v xml:space="preserve"> </v>
      </c>
      <c r="E8" s="94"/>
      <c r="F8" s="94"/>
      <c r="G8" s="93" t="s">
        <v>15</v>
      </c>
      <c r="H8" s="93">
        <f>'Stavební rozpočet'!G8</f>
        <v>0</v>
      </c>
      <c r="I8" s="93" t="s">
        <v>16</v>
      </c>
      <c r="J8" s="93" t="str">
        <f>'Stavební rozpočet'!I8</f>
        <v> </v>
      </c>
      <c r="K8" s="94"/>
      <c r="L8" s="143"/>
    </row>
    <row r="9" spans="1:16" x14ac:dyDescent="0.25">
      <c r="A9" s="164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1"/>
    </row>
    <row r="10" spans="1:16" x14ac:dyDescent="0.25">
      <c r="A10" s="38" t="s">
        <v>4</v>
      </c>
      <c r="B10" s="168" t="s">
        <v>4</v>
      </c>
      <c r="C10" s="169"/>
      <c r="D10" s="169"/>
      <c r="E10" s="169"/>
      <c r="F10" s="169"/>
      <c r="G10" s="169"/>
      <c r="H10" s="169"/>
      <c r="I10" s="170"/>
      <c r="J10" s="155" t="s">
        <v>23</v>
      </c>
      <c r="K10" s="156"/>
      <c r="L10" s="157"/>
    </row>
    <row r="11" spans="1:16" x14ac:dyDescent="0.25">
      <c r="A11" s="39" t="s">
        <v>18</v>
      </c>
      <c r="B11" s="153" t="s">
        <v>19</v>
      </c>
      <c r="C11" s="165"/>
      <c r="D11" s="165"/>
      <c r="E11" s="165"/>
      <c r="F11" s="165"/>
      <c r="G11" s="165"/>
      <c r="H11" s="165"/>
      <c r="I11" s="166"/>
      <c r="J11" s="16" t="s">
        <v>30</v>
      </c>
      <c r="K11" s="17" t="s">
        <v>31</v>
      </c>
      <c r="L11" s="18" t="s">
        <v>32</v>
      </c>
    </row>
    <row r="12" spans="1:16" x14ac:dyDescent="0.25">
      <c r="A12" s="40" t="s">
        <v>62</v>
      </c>
      <c r="B12" s="167" t="s">
        <v>2572</v>
      </c>
      <c r="C12" s="167"/>
      <c r="D12" s="167"/>
      <c r="E12" s="167"/>
      <c r="F12" s="167"/>
      <c r="G12" s="167"/>
      <c r="H12" s="167"/>
      <c r="I12" s="167"/>
      <c r="J12" s="42">
        <f>SUMIF('Stavební rozpočet'!AZ13:AZ1748,"3_",'Stavební rozpočet'!AW13:AW1748)</f>
        <v>0</v>
      </c>
      <c r="K12" s="42">
        <f>SUMIF('Stavební rozpočet'!AZ13:AZ1748,"3_",'Stavební rozpočet'!AX13:AX1748)</f>
        <v>0</v>
      </c>
      <c r="L12" s="43">
        <f>SUMIF('Stavební rozpočet'!AZ13:AZ1748,"3_",'Stavební rozpočet'!AV13:AV1748)</f>
        <v>0</v>
      </c>
      <c r="M12" s="44" t="s">
        <v>2573</v>
      </c>
      <c r="N12" s="25">
        <f t="shared" ref="N12:N22" si="0">IF(M12="F",0,L12)</f>
        <v>0</v>
      </c>
      <c r="O12" s="3" t="s">
        <v>46</v>
      </c>
      <c r="P12" s="25">
        <f t="shared" ref="P12:P22" si="1">IF(M12="T",0,L12)</f>
        <v>0</v>
      </c>
    </row>
    <row r="13" spans="1:16" x14ac:dyDescent="0.25">
      <c r="A13" s="2" t="s">
        <v>65</v>
      </c>
      <c r="B13" s="94" t="s">
        <v>2574</v>
      </c>
      <c r="C13" s="94"/>
      <c r="D13" s="94"/>
      <c r="E13" s="94"/>
      <c r="F13" s="94"/>
      <c r="G13" s="94"/>
      <c r="H13" s="94"/>
      <c r="I13" s="94"/>
      <c r="J13" s="25">
        <f>SUMIF('Stavební rozpočet'!AZ13:AZ1748,"4_",'Stavební rozpočet'!AW13:AW1748)</f>
        <v>0</v>
      </c>
      <c r="K13" s="25">
        <f>SUMIF('Stavební rozpočet'!AZ13:AZ1748,"4_",'Stavební rozpočet'!AX13:AX1748)</f>
        <v>0</v>
      </c>
      <c r="L13" s="45">
        <f>SUMIF('Stavební rozpočet'!AZ13:AZ1748,"4_",'Stavební rozpočet'!AV13:AV1748)</f>
        <v>0</v>
      </c>
      <c r="M13" s="44" t="s">
        <v>2573</v>
      </c>
      <c r="N13" s="25">
        <f t="shared" si="0"/>
        <v>0</v>
      </c>
      <c r="O13" s="3" t="s">
        <v>46</v>
      </c>
      <c r="P13" s="25">
        <f t="shared" si="1"/>
        <v>0</v>
      </c>
    </row>
    <row r="14" spans="1:16" x14ac:dyDescent="0.25">
      <c r="A14" s="2" t="s">
        <v>72</v>
      </c>
      <c r="B14" s="94" t="s">
        <v>2575</v>
      </c>
      <c r="C14" s="94"/>
      <c r="D14" s="94"/>
      <c r="E14" s="94"/>
      <c r="F14" s="94"/>
      <c r="G14" s="94"/>
      <c r="H14" s="94"/>
      <c r="I14" s="94"/>
      <c r="J14" s="25">
        <f>SUMIF('Stavební rozpočet'!AZ13:AZ1748,"6_",'Stavební rozpočet'!AW13:AW1748)</f>
        <v>0</v>
      </c>
      <c r="K14" s="25">
        <f>SUMIF('Stavební rozpočet'!AZ13:AZ1748,"6_",'Stavební rozpočet'!AX13:AX1748)</f>
        <v>0</v>
      </c>
      <c r="L14" s="45">
        <f>SUMIF('Stavební rozpočet'!AZ13:AZ1748,"6_",'Stavební rozpočet'!AV13:AV1748)</f>
        <v>0</v>
      </c>
      <c r="M14" s="44" t="s">
        <v>2573</v>
      </c>
      <c r="N14" s="25">
        <f t="shared" si="0"/>
        <v>0</v>
      </c>
      <c r="O14" s="3" t="s">
        <v>46</v>
      </c>
      <c r="P14" s="25">
        <f t="shared" si="1"/>
        <v>0</v>
      </c>
    </row>
    <row r="15" spans="1:16" x14ac:dyDescent="0.25">
      <c r="A15" s="2" t="s">
        <v>281</v>
      </c>
      <c r="B15" s="94" t="s">
        <v>2576</v>
      </c>
      <c r="C15" s="94"/>
      <c r="D15" s="94"/>
      <c r="E15" s="94"/>
      <c r="F15" s="94"/>
      <c r="G15" s="94"/>
      <c r="H15" s="94"/>
      <c r="I15" s="94"/>
      <c r="J15" s="25">
        <f>SUMIF('Stavební rozpočet'!AZ13:AZ1748,"71_",'Stavební rozpočet'!AW13:AW1748)</f>
        <v>0</v>
      </c>
      <c r="K15" s="25">
        <f>SUMIF('Stavební rozpočet'!AZ13:AZ1748,"71_",'Stavební rozpočet'!AX13:AX1748)</f>
        <v>0</v>
      </c>
      <c r="L15" s="45">
        <f>SUMIF('Stavební rozpočet'!AZ13:AZ1748,"71_",'Stavební rozpočet'!AV13:AV1748)</f>
        <v>0</v>
      </c>
      <c r="M15" s="44" t="s">
        <v>2573</v>
      </c>
      <c r="N15" s="25">
        <f t="shared" si="0"/>
        <v>0</v>
      </c>
      <c r="O15" s="3" t="s">
        <v>46</v>
      </c>
      <c r="P15" s="25">
        <f t="shared" si="1"/>
        <v>0</v>
      </c>
    </row>
    <row r="16" spans="1:16" x14ac:dyDescent="0.25">
      <c r="A16" s="2" t="s">
        <v>285</v>
      </c>
      <c r="B16" s="94" t="s">
        <v>2577</v>
      </c>
      <c r="C16" s="94"/>
      <c r="D16" s="94"/>
      <c r="E16" s="94"/>
      <c r="F16" s="94"/>
      <c r="G16" s="94"/>
      <c r="H16" s="94"/>
      <c r="I16" s="94"/>
      <c r="J16" s="25">
        <f>SUMIF('Stavební rozpočet'!AZ13:AZ1748,"72_",'Stavební rozpočet'!AW13:AW1748)</f>
        <v>0</v>
      </c>
      <c r="K16" s="25">
        <f>SUMIF('Stavební rozpočet'!AZ13:AZ1748,"72_",'Stavební rozpočet'!AX13:AX1748)</f>
        <v>0</v>
      </c>
      <c r="L16" s="45">
        <f>SUMIF('Stavební rozpočet'!AZ13:AZ1748,"72_",'Stavební rozpočet'!AV13:AV1748)</f>
        <v>0</v>
      </c>
      <c r="M16" s="44" t="s">
        <v>2573</v>
      </c>
      <c r="N16" s="25">
        <f t="shared" si="0"/>
        <v>0</v>
      </c>
      <c r="O16" s="3" t="s">
        <v>46</v>
      </c>
      <c r="P16" s="25">
        <f t="shared" si="1"/>
        <v>0</v>
      </c>
    </row>
    <row r="17" spans="1:16" x14ac:dyDescent="0.25">
      <c r="A17" s="2" t="s">
        <v>289</v>
      </c>
      <c r="B17" s="94" t="s">
        <v>2578</v>
      </c>
      <c r="C17" s="94"/>
      <c r="D17" s="94"/>
      <c r="E17" s="94"/>
      <c r="F17" s="94"/>
      <c r="G17" s="94"/>
      <c r="H17" s="94"/>
      <c r="I17" s="94"/>
      <c r="J17" s="25">
        <f>SUMIF('Stavební rozpočet'!AZ13:AZ1748,"73_",'Stavební rozpočet'!AW13:AW1748)</f>
        <v>0</v>
      </c>
      <c r="K17" s="25">
        <f>SUMIF('Stavební rozpočet'!AZ13:AZ1748,"73_",'Stavební rozpočet'!AX13:AX1748)</f>
        <v>0</v>
      </c>
      <c r="L17" s="45">
        <f>SUMIF('Stavební rozpočet'!AZ13:AZ1748,"73_",'Stavební rozpočet'!AV13:AV1748)</f>
        <v>0</v>
      </c>
      <c r="M17" s="44" t="s">
        <v>2573</v>
      </c>
      <c r="N17" s="25">
        <f t="shared" si="0"/>
        <v>0</v>
      </c>
      <c r="O17" s="3" t="s">
        <v>46</v>
      </c>
      <c r="P17" s="25">
        <f t="shared" si="1"/>
        <v>0</v>
      </c>
    </row>
    <row r="18" spans="1:16" x14ac:dyDescent="0.25">
      <c r="A18" s="2" t="s">
        <v>300</v>
      </c>
      <c r="B18" s="94" t="s">
        <v>2579</v>
      </c>
      <c r="C18" s="94"/>
      <c r="D18" s="94"/>
      <c r="E18" s="94"/>
      <c r="F18" s="94"/>
      <c r="G18" s="94"/>
      <c r="H18" s="94"/>
      <c r="I18" s="94"/>
      <c r="J18" s="25">
        <f>SUMIF('Stavební rozpočet'!AZ13:AZ1748,"76_",'Stavební rozpočet'!AW13:AW1748)</f>
        <v>0</v>
      </c>
      <c r="K18" s="25">
        <f>SUMIF('Stavební rozpočet'!AZ13:AZ1748,"76_",'Stavební rozpočet'!AX13:AX1748)</f>
        <v>0</v>
      </c>
      <c r="L18" s="45">
        <f>SUMIF('Stavební rozpočet'!AZ13:AZ1748,"76_",'Stavební rozpočet'!AV13:AV1748)</f>
        <v>0</v>
      </c>
      <c r="M18" s="44" t="s">
        <v>2573</v>
      </c>
      <c r="N18" s="25">
        <f t="shared" si="0"/>
        <v>0</v>
      </c>
      <c r="O18" s="3" t="s">
        <v>46</v>
      </c>
      <c r="P18" s="25">
        <f t="shared" si="1"/>
        <v>0</v>
      </c>
    </row>
    <row r="19" spans="1:16" x14ac:dyDescent="0.25">
      <c r="A19" s="2" t="s">
        <v>306</v>
      </c>
      <c r="B19" s="94" t="s">
        <v>2580</v>
      </c>
      <c r="C19" s="94"/>
      <c r="D19" s="94"/>
      <c r="E19" s="94"/>
      <c r="F19" s="94"/>
      <c r="G19" s="94"/>
      <c r="H19" s="94"/>
      <c r="I19" s="94"/>
      <c r="J19" s="25">
        <f>SUMIF('Stavební rozpočet'!AZ13:AZ1748,"77_",'Stavební rozpočet'!AW13:AW1748)</f>
        <v>0</v>
      </c>
      <c r="K19" s="25">
        <f>SUMIF('Stavební rozpočet'!AZ13:AZ1748,"77_",'Stavební rozpočet'!AX13:AX1748)</f>
        <v>0</v>
      </c>
      <c r="L19" s="45">
        <f>SUMIF('Stavební rozpočet'!AZ13:AZ1748,"77_",'Stavební rozpočet'!AV13:AV1748)</f>
        <v>0</v>
      </c>
      <c r="M19" s="44" t="s">
        <v>2573</v>
      </c>
      <c r="N19" s="25">
        <f t="shared" si="0"/>
        <v>0</v>
      </c>
      <c r="O19" s="3" t="s">
        <v>46</v>
      </c>
      <c r="P19" s="25">
        <f t="shared" si="1"/>
        <v>0</v>
      </c>
    </row>
    <row r="20" spans="1:16" x14ac:dyDescent="0.25">
      <c r="A20" s="2" t="s">
        <v>309</v>
      </c>
      <c r="B20" s="94" t="s">
        <v>2581</v>
      </c>
      <c r="C20" s="94"/>
      <c r="D20" s="94"/>
      <c r="E20" s="94"/>
      <c r="F20" s="94"/>
      <c r="G20" s="94"/>
      <c r="H20" s="94"/>
      <c r="I20" s="94"/>
      <c r="J20" s="25">
        <f>SUMIF('Stavební rozpočet'!AZ13:AZ1748,"78_",'Stavební rozpočet'!AW13:AW1748)</f>
        <v>0</v>
      </c>
      <c r="K20" s="25">
        <f>SUMIF('Stavební rozpočet'!AZ13:AZ1748,"78_",'Stavební rozpočet'!AX13:AX1748)</f>
        <v>0</v>
      </c>
      <c r="L20" s="45">
        <f>SUMIF('Stavební rozpočet'!AZ13:AZ1748,"78_",'Stavební rozpočet'!AV13:AV1748)</f>
        <v>0</v>
      </c>
      <c r="M20" s="44" t="s">
        <v>2573</v>
      </c>
      <c r="N20" s="25">
        <f t="shared" si="0"/>
        <v>0</v>
      </c>
      <c r="O20" s="3" t="s">
        <v>46</v>
      </c>
      <c r="P20" s="25">
        <f t="shared" si="1"/>
        <v>0</v>
      </c>
    </row>
    <row r="21" spans="1:16" x14ac:dyDescent="0.25">
      <c r="A21" s="2" t="s">
        <v>82</v>
      </c>
      <c r="B21" s="94" t="s">
        <v>2582</v>
      </c>
      <c r="C21" s="94"/>
      <c r="D21" s="94"/>
      <c r="E21" s="94"/>
      <c r="F21" s="94"/>
      <c r="G21" s="94"/>
      <c r="H21" s="94"/>
      <c r="I21" s="94"/>
      <c r="J21" s="25">
        <f>SUMIF('Stavební rozpočet'!AZ13:AZ1748,"9_",'Stavební rozpočet'!AW13:AW1748)</f>
        <v>0</v>
      </c>
      <c r="K21" s="25">
        <f>SUMIF('Stavební rozpočet'!AZ13:AZ1748,"9_",'Stavební rozpočet'!AX13:AX1748)</f>
        <v>0</v>
      </c>
      <c r="L21" s="45">
        <f>SUMIF('Stavební rozpočet'!AZ13:AZ1748,"9_",'Stavební rozpočet'!AV13:AV1748)</f>
        <v>0</v>
      </c>
      <c r="M21" s="44" t="s">
        <v>2573</v>
      </c>
      <c r="N21" s="25">
        <f t="shared" si="0"/>
        <v>0</v>
      </c>
      <c r="O21" s="3" t="s">
        <v>46</v>
      </c>
      <c r="P21" s="25">
        <f t="shared" si="1"/>
        <v>0</v>
      </c>
    </row>
    <row r="22" spans="1:16" x14ac:dyDescent="0.25">
      <c r="A22" s="32" t="s">
        <v>2583</v>
      </c>
      <c r="B22" s="130" t="s">
        <v>46</v>
      </c>
      <c r="C22" s="130"/>
      <c r="D22" s="130"/>
      <c r="E22" s="130"/>
      <c r="F22" s="130"/>
      <c r="G22" s="130"/>
      <c r="H22" s="130"/>
      <c r="I22" s="130"/>
      <c r="J22" s="34">
        <f>SUMIF('Stavební rozpočet'!AZ13:AZ1748,"Â _",'Stavební rozpočet'!AW13:AW1748)</f>
        <v>0</v>
      </c>
      <c r="K22" s="34">
        <f>SUMIF('Stavební rozpočet'!AZ13:AZ1748,"Â _",'Stavební rozpočet'!AX13:AX1748)</f>
        <v>0</v>
      </c>
      <c r="L22" s="46">
        <f>SUMIF('Stavební rozpočet'!AZ13:AZ1748,"Â _",'Stavební rozpočet'!AV13:AV1748)</f>
        <v>0</v>
      </c>
      <c r="M22" s="44" t="s">
        <v>2573</v>
      </c>
      <c r="N22" s="25">
        <f t="shared" si="0"/>
        <v>0</v>
      </c>
      <c r="O22" s="3" t="s">
        <v>46</v>
      </c>
      <c r="P22" s="25">
        <f t="shared" si="1"/>
        <v>0</v>
      </c>
    </row>
    <row r="23" spans="1:16" x14ac:dyDescent="0.25">
      <c r="J23" s="149" t="s">
        <v>2569</v>
      </c>
      <c r="K23" s="149"/>
      <c r="L23" s="36">
        <f>ROUND(SUM(N12:N22),1)</f>
        <v>0</v>
      </c>
    </row>
    <row r="24" spans="1:16" x14ac:dyDescent="0.25">
      <c r="A24" s="37" t="s">
        <v>2570</v>
      </c>
    </row>
    <row r="25" spans="1:16" ht="12.75" customHeight="1" x14ac:dyDescent="0.25">
      <c r="A25" s="93" t="s">
        <v>46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</row>
  </sheetData>
  <mergeCells count="41"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H6:H7"/>
    <mergeCell ref="J2:L3"/>
    <mergeCell ref="J4:L5"/>
    <mergeCell ref="J6:L7"/>
    <mergeCell ref="J8:L9"/>
    <mergeCell ref="B10:I10"/>
    <mergeCell ref="H8:H9"/>
    <mergeCell ref="I2:I3"/>
    <mergeCell ref="I4:I5"/>
    <mergeCell ref="I6:I7"/>
    <mergeCell ref="I8:I9"/>
    <mergeCell ref="B11:I11"/>
    <mergeCell ref="J10:L10"/>
    <mergeCell ref="B12:I12"/>
    <mergeCell ref="B13:I13"/>
    <mergeCell ref="B14:I14"/>
    <mergeCell ref="B15:I15"/>
    <mergeCell ref="B16:I16"/>
    <mergeCell ref="B17:I17"/>
    <mergeCell ref="B18:I18"/>
    <mergeCell ref="B19:I19"/>
    <mergeCell ref="B20:I20"/>
    <mergeCell ref="B21:I21"/>
    <mergeCell ref="B22:I22"/>
    <mergeCell ref="J23:K23"/>
    <mergeCell ref="A25:L25"/>
  </mergeCells>
  <pageMargins left="0.393999993801117" right="0.393999993801117" top="0.59100002050399802" bottom="0.59100002050399802" header="0" footer="0"/>
  <pageSetup fitToHeight="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7"/>
  <sheetViews>
    <sheetView workbookViewId="0">
      <pane ySplit="11" topLeftCell="A12" activePane="bottomLeft" state="frozen"/>
      <selection pane="bottomLeft" activeCell="A57" sqref="A57:L57"/>
    </sheetView>
  </sheetViews>
  <sheetFormatPr defaultColWidth="12.140625" defaultRowHeight="15" customHeight="1" x14ac:dyDescent="0.25"/>
  <cols>
    <col min="1" max="1" width="5.7109375" customWidth="1"/>
    <col min="2" max="9" width="15.7109375" customWidth="1"/>
    <col min="10" max="12" width="14.28515625" customWidth="1"/>
    <col min="13" max="16" width="12.140625" hidden="1"/>
  </cols>
  <sheetData>
    <row r="1" spans="1:16" ht="54.75" customHeight="1" x14ac:dyDescent="0.25">
      <c r="A1" s="138" t="s">
        <v>2584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6" x14ac:dyDescent="0.25">
      <c r="A2" s="139" t="s">
        <v>1</v>
      </c>
      <c r="B2" s="140"/>
      <c r="C2" s="140"/>
      <c r="D2" s="134" t="str">
        <f>'Stavební rozpočet'!C2</f>
        <v>Modernizace 4.NP Hlavního pavilonu nemocnice Semily</v>
      </c>
      <c r="E2" s="135"/>
      <c r="F2" s="135"/>
      <c r="G2" s="131" t="s">
        <v>3</v>
      </c>
      <c r="H2" s="131" t="str">
        <f>'Stavební rozpočet'!G2</f>
        <v xml:space="preserve"> </v>
      </c>
      <c r="I2" s="131" t="s">
        <v>5</v>
      </c>
      <c r="J2" s="131" t="str">
        <f>'Stavební rozpočet'!I2</f>
        <v> </v>
      </c>
      <c r="K2" s="140"/>
      <c r="L2" s="142"/>
    </row>
    <row r="3" spans="1:16" ht="15" customHeight="1" x14ac:dyDescent="0.25">
      <c r="A3" s="141"/>
      <c r="B3" s="94"/>
      <c r="C3" s="94"/>
      <c r="D3" s="136"/>
      <c r="E3" s="136"/>
      <c r="F3" s="136"/>
      <c r="G3" s="94"/>
      <c r="H3" s="94"/>
      <c r="I3" s="94"/>
      <c r="J3" s="94"/>
      <c r="K3" s="94"/>
      <c r="L3" s="143"/>
    </row>
    <row r="4" spans="1:16" x14ac:dyDescent="0.25">
      <c r="A4" s="132" t="s">
        <v>7</v>
      </c>
      <c r="B4" s="94"/>
      <c r="C4" s="94"/>
      <c r="D4" s="93" t="str">
        <f>'Stavební rozpočet'!C4</f>
        <v xml:space="preserve"> </v>
      </c>
      <c r="E4" s="94"/>
      <c r="F4" s="94"/>
      <c r="G4" s="93" t="s">
        <v>8</v>
      </c>
      <c r="H4" s="93">
        <f>'Stavební rozpočet'!G4</f>
        <v>0</v>
      </c>
      <c r="I4" s="93" t="s">
        <v>9</v>
      </c>
      <c r="J4" s="93" t="str">
        <f>'Stavební rozpočet'!I4</f>
        <v> </v>
      </c>
      <c r="K4" s="94"/>
      <c r="L4" s="143"/>
    </row>
    <row r="5" spans="1:16" ht="15" customHeight="1" x14ac:dyDescent="0.25">
      <c r="A5" s="141"/>
      <c r="B5" s="94"/>
      <c r="C5" s="94"/>
      <c r="D5" s="94"/>
      <c r="E5" s="94"/>
      <c r="F5" s="94"/>
      <c r="G5" s="94"/>
      <c r="H5" s="94"/>
      <c r="I5" s="94"/>
      <c r="J5" s="94"/>
      <c r="K5" s="94"/>
      <c r="L5" s="143"/>
    </row>
    <row r="6" spans="1:16" x14ac:dyDescent="0.25">
      <c r="A6" s="132" t="s">
        <v>10</v>
      </c>
      <c r="B6" s="94"/>
      <c r="C6" s="94"/>
      <c r="D6" s="93" t="str">
        <f>'Stavební rozpočet'!C6</f>
        <v>p.p.č.519/1, k.ú.Semily (747246)  3.května č.p.421, 513 01 Semily, Česká republika</v>
      </c>
      <c r="E6" s="94"/>
      <c r="F6" s="94"/>
      <c r="G6" s="93" t="s">
        <v>12</v>
      </c>
      <c r="H6" s="93" t="str">
        <f>'Stavební rozpočet'!G6</f>
        <v xml:space="preserve"> </v>
      </c>
      <c r="I6" s="93" t="s">
        <v>13</v>
      </c>
      <c r="J6" s="93" t="str">
        <f>'Stavební rozpočet'!I6</f>
        <v> </v>
      </c>
      <c r="K6" s="94"/>
      <c r="L6" s="143"/>
    </row>
    <row r="7" spans="1:16" ht="15" customHeight="1" x14ac:dyDescent="0.25">
      <c r="A7" s="141"/>
      <c r="B7" s="94"/>
      <c r="C7" s="94"/>
      <c r="D7" s="94"/>
      <c r="E7" s="94"/>
      <c r="F7" s="94"/>
      <c r="G7" s="94"/>
      <c r="H7" s="94"/>
      <c r="I7" s="94"/>
      <c r="J7" s="94"/>
      <c r="K7" s="94"/>
      <c r="L7" s="143"/>
    </row>
    <row r="8" spans="1:16" x14ac:dyDescent="0.25">
      <c r="A8" s="132" t="s">
        <v>14</v>
      </c>
      <c r="B8" s="94"/>
      <c r="C8" s="94"/>
      <c r="D8" s="93" t="str">
        <f>'Stavební rozpočet'!C8</f>
        <v xml:space="preserve"> </v>
      </c>
      <c r="E8" s="94"/>
      <c r="F8" s="94"/>
      <c r="G8" s="93" t="s">
        <v>15</v>
      </c>
      <c r="H8" s="93">
        <f>'Stavební rozpočet'!G8</f>
        <v>0</v>
      </c>
      <c r="I8" s="93" t="s">
        <v>16</v>
      </c>
      <c r="J8" s="93" t="str">
        <f>'Stavební rozpočet'!I8</f>
        <v> </v>
      </c>
      <c r="K8" s="94"/>
      <c r="L8" s="143"/>
    </row>
    <row r="9" spans="1:16" x14ac:dyDescent="0.25">
      <c r="A9" s="164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1"/>
    </row>
    <row r="10" spans="1:16" x14ac:dyDescent="0.25">
      <c r="A10" s="38" t="s">
        <v>4</v>
      </c>
      <c r="B10" s="168" t="s">
        <v>4</v>
      </c>
      <c r="C10" s="169"/>
      <c r="D10" s="169"/>
      <c r="E10" s="169"/>
      <c r="F10" s="169"/>
      <c r="G10" s="169"/>
      <c r="H10" s="169"/>
      <c r="I10" s="170"/>
      <c r="J10" s="155" t="s">
        <v>23</v>
      </c>
      <c r="K10" s="156"/>
      <c r="L10" s="157"/>
    </row>
    <row r="11" spans="1:16" x14ac:dyDescent="0.25">
      <c r="A11" s="39" t="s">
        <v>18</v>
      </c>
      <c r="B11" s="153" t="s">
        <v>19</v>
      </c>
      <c r="C11" s="165"/>
      <c r="D11" s="165"/>
      <c r="E11" s="165"/>
      <c r="F11" s="165"/>
      <c r="G11" s="165"/>
      <c r="H11" s="165"/>
      <c r="I11" s="166"/>
      <c r="J11" s="16" t="s">
        <v>30</v>
      </c>
      <c r="K11" s="17" t="s">
        <v>31</v>
      </c>
      <c r="L11" s="18" t="s">
        <v>32</v>
      </c>
    </row>
    <row r="12" spans="1:16" x14ac:dyDescent="0.25">
      <c r="A12" s="40" t="s">
        <v>47</v>
      </c>
      <c r="B12" s="167" t="s">
        <v>48</v>
      </c>
      <c r="C12" s="167"/>
      <c r="D12" s="167"/>
      <c r="E12" s="167"/>
      <c r="F12" s="167"/>
      <c r="G12" s="167"/>
      <c r="H12" s="167"/>
      <c r="I12" s="167"/>
      <c r="J12" s="42">
        <f>ROUND('Stavební rozpočet'!H12,2)</f>
        <v>0</v>
      </c>
      <c r="K12" s="42">
        <f>ROUND('Stavební rozpočet'!I12,2)</f>
        <v>0</v>
      </c>
      <c r="L12" s="43">
        <f>ROUND('Stavební rozpočet'!J12,2)</f>
        <v>0</v>
      </c>
      <c r="M12" s="44" t="s">
        <v>2573</v>
      </c>
      <c r="N12" s="25">
        <f t="shared" ref="N12:N54" si="0">IF(M12="F",0,L12)</f>
        <v>0</v>
      </c>
      <c r="O12" s="3" t="s">
        <v>46</v>
      </c>
      <c r="P12" s="25">
        <f t="shared" ref="P12:P54" si="1">IF(M12="T",0,L12)</f>
        <v>0</v>
      </c>
    </row>
    <row r="13" spans="1:16" x14ac:dyDescent="0.25">
      <c r="A13" s="2" t="s">
        <v>88</v>
      </c>
      <c r="B13" s="94" t="s">
        <v>89</v>
      </c>
      <c r="C13" s="94"/>
      <c r="D13" s="94"/>
      <c r="E13" s="94"/>
      <c r="F13" s="94"/>
      <c r="G13" s="94"/>
      <c r="H13" s="94"/>
      <c r="I13" s="94"/>
      <c r="J13" s="25">
        <f>ROUND('Stavební rozpočet'!H23,2)</f>
        <v>0</v>
      </c>
      <c r="K13" s="25">
        <f>ROUND('Stavební rozpočet'!I23,2)</f>
        <v>0</v>
      </c>
      <c r="L13" s="45">
        <f>ROUND('Stavební rozpočet'!J23,2)</f>
        <v>0</v>
      </c>
      <c r="M13" s="44" t="s">
        <v>2573</v>
      </c>
      <c r="N13" s="25">
        <f t="shared" si="0"/>
        <v>0</v>
      </c>
      <c r="O13" s="3" t="s">
        <v>46</v>
      </c>
      <c r="P13" s="25">
        <f t="shared" si="1"/>
        <v>0</v>
      </c>
    </row>
    <row r="14" spans="1:16" x14ac:dyDescent="0.25">
      <c r="A14" s="2" t="s">
        <v>181</v>
      </c>
      <c r="B14" s="94" t="s">
        <v>193</v>
      </c>
      <c r="C14" s="94"/>
      <c r="D14" s="94"/>
      <c r="E14" s="94"/>
      <c r="F14" s="94"/>
      <c r="G14" s="94"/>
      <c r="H14" s="94"/>
      <c r="I14" s="94"/>
      <c r="J14" s="25">
        <f>ROUND('Stavební rozpočet'!H58,2)</f>
        <v>0</v>
      </c>
      <c r="K14" s="25">
        <f>ROUND('Stavební rozpočet'!I58,2)</f>
        <v>0</v>
      </c>
      <c r="L14" s="45">
        <f>ROUND('Stavební rozpočet'!J58,2)</f>
        <v>0</v>
      </c>
      <c r="M14" s="44" t="s">
        <v>2573</v>
      </c>
      <c r="N14" s="25">
        <f t="shared" si="0"/>
        <v>0</v>
      </c>
      <c r="O14" s="3" t="s">
        <v>46</v>
      </c>
      <c r="P14" s="25">
        <f t="shared" si="1"/>
        <v>0</v>
      </c>
    </row>
    <row r="15" spans="1:16" x14ac:dyDescent="0.25">
      <c r="A15" s="2" t="s">
        <v>217</v>
      </c>
      <c r="B15" s="94" t="s">
        <v>218</v>
      </c>
      <c r="C15" s="94"/>
      <c r="D15" s="94"/>
      <c r="E15" s="94"/>
      <c r="F15" s="94"/>
      <c r="G15" s="94"/>
      <c r="H15" s="94"/>
      <c r="I15" s="94"/>
      <c r="J15" s="25">
        <f>ROUND('Stavební rozpočet'!H66,2)</f>
        <v>0</v>
      </c>
      <c r="K15" s="25">
        <f>ROUND('Stavební rozpočet'!I66,2)</f>
        <v>0</v>
      </c>
      <c r="L15" s="45">
        <f>ROUND('Stavební rozpočet'!J66,2)</f>
        <v>0</v>
      </c>
      <c r="M15" s="44" t="s">
        <v>2573</v>
      </c>
      <c r="N15" s="25">
        <f t="shared" si="0"/>
        <v>0</v>
      </c>
      <c r="O15" s="3" t="s">
        <v>46</v>
      </c>
      <c r="P15" s="25">
        <f t="shared" si="1"/>
        <v>0</v>
      </c>
    </row>
    <row r="16" spans="1:16" x14ac:dyDescent="0.25">
      <c r="A16" s="2" t="s">
        <v>250</v>
      </c>
      <c r="B16" s="94" t="s">
        <v>256</v>
      </c>
      <c r="C16" s="94"/>
      <c r="D16" s="94"/>
      <c r="E16" s="94"/>
      <c r="F16" s="94"/>
      <c r="G16" s="94"/>
      <c r="H16" s="94"/>
      <c r="I16" s="94"/>
      <c r="J16" s="25">
        <f>ROUND('Stavební rozpočet'!H79,2)</f>
        <v>0</v>
      </c>
      <c r="K16" s="25">
        <f>ROUND('Stavební rozpočet'!I79,2)</f>
        <v>0</v>
      </c>
      <c r="L16" s="45">
        <f>ROUND('Stavební rozpočet'!J79,2)</f>
        <v>0</v>
      </c>
      <c r="M16" s="44" t="s">
        <v>2573</v>
      </c>
      <c r="N16" s="25">
        <f t="shared" si="0"/>
        <v>0</v>
      </c>
      <c r="O16" s="3" t="s">
        <v>46</v>
      </c>
      <c r="P16" s="25">
        <f t="shared" si="1"/>
        <v>0</v>
      </c>
    </row>
    <row r="17" spans="1:16" x14ac:dyDescent="0.25">
      <c r="A17" s="2" t="s">
        <v>253</v>
      </c>
      <c r="B17" s="94" t="s">
        <v>267</v>
      </c>
      <c r="C17" s="94"/>
      <c r="D17" s="94"/>
      <c r="E17" s="94"/>
      <c r="F17" s="94"/>
      <c r="G17" s="94"/>
      <c r="H17" s="94"/>
      <c r="I17" s="94"/>
      <c r="J17" s="25">
        <f>ROUND('Stavební rozpočet'!H83,2)</f>
        <v>0</v>
      </c>
      <c r="K17" s="25">
        <f>ROUND('Stavební rozpočet'!I83,2)</f>
        <v>0</v>
      </c>
      <c r="L17" s="45">
        <f>ROUND('Stavební rozpočet'!J83,2)</f>
        <v>0</v>
      </c>
      <c r="M17" s="44" t="s">
        <v>2573</v>
      </c>
      <c r="N17" s="25">
        <f t="shared" si="0"/>
        <v>0</v>
      </c>
      <c r="O17" s="3" t="s">
        <v>46</v>
      </c>
      <c r="P17" s="25">
        <f t="shared" si="1"/>
        <v>0</v>
      </c>
    </row>
    <row r="18" spans="1:16" x14ac:dyDescent="0.25">
      <c r="A18" s="2" t="s">
        <v>257</v>
      </c>
      <c r="B18" s="94" t="s">
        <v>284</v>
      </c>
      <c r="C18" s="94"/>
      <c r="D18" s="94"/>
      <c r="E18" s="94"/>
      <c r="F18" s="94"/>
      <c r="G18" s="94"/>
      <c r="H18" s="94"/>
      <c r="I18" s="94"/>
      <c r="J18" s="25">
        <f>ROUND('Stavební rozpočet'!H89,2)</f>
        <v>0</v>
      </c>
      <c r="K18" s="25">
        <f>ROUND('Stavební rozpočet'!I89,2)</f>
        <v>0</v>
      </c>
      <c r="L18" s="45">
        <f>ROUND('Stavební rozpočet'!J89,2)</f>
        <v>0</v>
      </c>
      <c r="M18" s="44" t="s">
        <v>2573</v>
      </c>
      <c r="N18" s="25">
        <f t="shared" si="0"/>
        <v>0</v>
      </c>
      <c r="O18" s="3" t="s">
        <v>46</v>
      </c>
      <c r="P18" s="25">
        <f t="shared" si="1"/>
        <v>0</v>
      </c>
    </row>
    <row r="19" spans="1:16" x14ac:dyDescent="0.25">
      <c r="A19" s="2" t="s">
        <v>298</v>
      </c>
      <c r="B19" s="94" t="s">
        <v>299</v>
      </c>
      <c r="C19" s="94"/>
      <c r="D19" s="94"/>
      <c r="E19" s="94"/>
      <c r="F19" s="94"/>
      <c r="G19" s="94"/>
      <c r="H19" s="94"/>
      <c r="I19" s="94"/>
      <c r="J19" s="25">
        <f>ROUND('Stavební rozpočet'!H94,2)</f>
        <v>0</v>
      </c>
      <c r="K19" s="25">
        <f>ROUND('Stavební rozpočet'!I94,2)</f>
        <v>0</v>
      </c>
      <c r="L19" s="45">
        <f>ROUND('Stavební rozpočet'!J94,2)</f>
        <v>0</v>
      </c>
      <c r="M19" s="44" t="s">
        <v>2573</v>
      </c>
      <c r="N19" s="25">
        <f t="shared" si="0"/>
        <v>0</v>
      </c>
      <c r="O19" s="3" t="s">
        <v>46</v>
      </c>
      <c r="P19" s="25">
        <f t="shared" si="1"/>
        <v>0</v>
      </c>
    </row>
    <row r="20" spans="1:16" x14ac:dyDescent="0.25">
      <c r="A20" s="2" t="s">
        <v>318</v>
      </c>
      <c r="B20" s="94" t="s">
        <v>319</v>
      </c>
      <c r="C20" s="94"/>
      <c r="D20" s="94"/>
      <c r="E20" s="94"/>
      <c r="F20" s="94"/>
      <c r="G20" s="94"/>
      <c r="H20" s="94"/>
      <c r="I20" s="94"/>
      <c r="J20" s="25">
        <f>ROUND('Stavební rozpočet'!H100,2)</f>
        <v>0</v>
      </c>
      <c r="K20" s="25">
        <f>ROUND('Stavební rozpočet'!I100,2)</f>
        <v>0</v>
      </c>
      <c r="L20" s="45">
        <f>ROUND('Stavební rozpočet'!J100,2)</f>
        <v>0</v>
      </c>
      <c r="M20" s="44" t="s">
        <v>2573</v>
      </c>
      <c r="N20" s="25">
        <f t="shared" si="0"/>
        <v>0</v>
      </c>
      <c r="O20" s="3" t="s">
        <v>46</v>
      </c>
      <c r="P20" s="25">
        <f t="shared" si="1"/>
        <v>0</v>
      </c>
    </row>
    <row r="21" spans="1:16" x14ac:dyDescent="0.25">
      <c r="A21" s="2" t="s">
        <v>327</v>
      </c>
      <c r="B21" s="94" t="s">
        <v>328</v>
      </c>
      <c r="C21" s="94"/>
      <c r="D21" s="94"/>
      <c r="E21" s="94"/>
      <c r="F21" s="94"/>
      <c r="G21" s="94"/>
      <c r="H21" s="94"/>
      <c r="I21" s="94"/>
      <c r="J21" s="25">
        <f>ROUND('Stavební rozpočet'!H103,2)</f>
        <v>0</v>
      </c>
      <c r="K21" s="25">
        <f>ROUND('Stavební rozpočet'!I103,2)</f>
        <v>0</v>
      </c>
      <c r="L21" s="45">
        <f>ROUND('Stavební rozpočet'!J103,2)</f>
        <v>0</v>
      </c>
      <c r="M21" s="44" t="s">
        <v>2573</v>
      </c>
      <c r="N21" s="25">
        <f t="shared" si="0"/>
        <v>0</v>
      </c>
      <c r="O21" s="3" t="s">
        <v>46</v>
      </c>
      <c r="P21" s="25">
        <f t="shared" si="1"/>
        <v>0</v>
      </c>
    </row>
    <row r="22" spans="1:16" x14ac:dyDescent="0.25">
      <c r="A22" s="2" t="s">
        <v>349</v>
      </c>
      <c r="B22" s="94" t="s">
        <v>350</v>
      </c>
      <c r="C22" s="94"/>
      <c r="D22" s="94"/>
      <c r="E22" s="94"/>
      <c r="F22" s="94"/>
      <c r="G22" s="94"/>
      <c r="H22" s="94"/>
      <c r="I22" s="94"/>
      <c r="J22" s="25">
        <f>ROUND('Stavební rozpočet'!H110,2)</f>
        <v>0</v>
      </c>
      <c r="K22" s="25">
        <f>ROUND('Stavební rozpočet'!I110,2)</f>
        <v>0</v>
      </c>
      <c r="L22" s="45">
        <f>ROUND('Stavební rozpočet'!J110,2)</f>
        <v>0</v>
      </c>
      <c r="M22" s="44" t="s">
        <v>2573</v>
      </c>
      <c r="N22" s="25">
        <f t="shared" si="0"/>
        <v>0</v>
      </c>
      <c r="O22" s="3" t="s">
        <v>46</v>
      </c>
      <c r="P22" s="25">
        <f t="shared" si="1"/>
        <v>0</v>
      </c>
    </row>
    <row r="23" spans="1:16" x14ac:dyDescent="0.25">
      <c r="A23" s="2" t="s">
        <v>372</v>
      </c>
      <c r="B23" s="94" t="s">
        <v>441</v>
      </c>
      <c r="C23" s="94"/>
      <c r="D23" s="94"/>
      <c r="E23" s="94"/>
      <c r="F23" s="94"/>
      <c r="G23" s="94"/>
      <c r="H23" s="94"/>
      <c r="I23" s="94"/>
      <c r="J23" s="25">
        <f>ROUND('Stavební rozpočet'!H142,2)</f>
        <v>0</v>
      </c>
      <c r="K23" s="25">
        <f>ROUND('Stavební rozpočet'!I142,2)</f>
        <v>0</v>
      </c>
      <c r="L23" s="45">
        <f>ROUND('Stavební rozpočet'!J142,2)</f>
        <v>0</v>
      </c>
      <c r="M23" s="44" t="s">
        <v>2573</v>
      </c>
      <c r="N23" s="25">
        <f t="shared" si="0"/>
        <v>0</v>
      </c>
      <c r="O23" s="3" t="s">
        <v>46</v>
      </c>
      <c r="P23" s="25">
        <f t="shared" si="1"/>
        <v>0</v>
      </c>
    </row>
    <row r="24" spans="1:16" x14ac:dyDescent="0.25">
      <c r="A24" s="2" t="s">
        <v>479</v>
      </c>
      <c r="B24" s="94" t="s">
        <v>480</v>
      </c>
      <c r="C24" s="94"/>
      <c r="D24" s="94"/>
      <c r="E24" s="94"/>
      <c r="F24" s="94"/>
      <c r="G24" s="94"/>
      <c r="H24" s="94"/>
      <c r="I24" s="94"/>
      <c r="J24" s="25">
        <f>ROUND('Stavební rozpočet'!H155,2)</f>
        <v>0</v>
      </c>
      <c r="K24" s="25">
        <f>ROUND('Stavební rozpočet'!I155,2)</f>
        <v>0</v>
      </c>
      <c r="L24" s="45">
        <f>ROUND('Stavební rozpočet'!J155,2)</f>
        <v>0</v>
      </c>
      <c r="M24" s="44" t="s">
        <v>2573</v>
      </c>
      <c r="N24" s="25">
        <f t="shared" si="0"/>
        <v>0</v>
      </c>
      <c r="O24" s="3" t="s">
        <v>46</v>
      </c>
      <c r="P24" s="25">
        <f t="shared" si="1"/>
        <v>0</v>
      </c>
    </row>
    <row r="25" spans="1:16" x14ac:dyDescent="0.25">
      <c r="A25" s="2" t="s">
        <v>533</v>
      </c>
      <c r="B25" s="94" t="s">
        <v>534</v>
      </c>
      <c r="C25" s="94"/>
      <c r="D25" s="94"/>
      <c r="E25" s="94"/>
      <c r="F25" s="94"/>
      <c r="G25" s="94"/>
      <c r="H25" s="94"/>
      <c r="I25" s="94"/>
      <c r="J25" s="25">
        <f>ROUND('Stavební rozpočet'!H173,2)</f>
        <v>0</v>
      </c>
      <c r="K25" s="25">
        <f>ROUND('Stavební rozpočet'!I173,2)</f>
        <v>0</v>
      </c>
      <c r="L25" s="45">
        <f>ROUND('Stavební rozpočet'!J173,2)</f>
        <v>0</v>
      </c>
      <c r="M25" s="44" t="s">
        <v>2573</v>
      </c>
      <c r="N25" s="25">
        <f t="shared" si="0"/>
        <v>0</v>
      </c>
      <c r="O25" s="3" t="s">
        <v>46</v>
      </c>
      <c r="P25" s="25">
        <f t="shared" si="1"/>
        <v>0</v>
      </c>
    </row>
    <row r="26" spans="1:16" x14ac:dyDescent="0.25">
      <c r="A26" s="2" t="s">
        <v>539</v>
      </c>
      <c r="B26" s="94" t="s">
        <v>540</v>
      </c>
      <c r="C26" s="94"/>
      <c r="D26" s="94"/>
      <c r="E26" s="94"/>
      <c r="F26" s="94"/>
      <c r="G26" s="94"/>
      <c r="H26" s="94"/>
      <c r="I26" s="94"/>
      <c r="J26" s="25">
        <f>ROUND('Stavební rozpočet'!H175,2)</f>
        <v>0</v>
      </c>
      <c r="K26" s="25">
        <f>ROUND('Stavební rozpočet'!I175,2)</f>
        <v>0</v>
      </c>
      <c r="L26" s="45">
        <f>ROUND('Stavební rozpočet'!J175,2)</f>
        <v>0</v>
      </c>
      <c r="M26" s="44" t="s">
        <v>2573</v>
      </c>
      <c r="N26" s="25">
        <f t="shared" si="0"/>
        <v>0</v>
      </c>
      <c r="O26" s="3" t="s">
        <v>46</v>
      </c>
      <c r="P26" s="25">
        <f t="shared" si="1"/>
        <v>0</v>
      </c>
    </row>
    <row r="27" spans="1:16" x14ac:dyDescent="0.25">
      <c r="A27" s="2" t="s">
        <v>555</v>
      </c>
      <c r="B27" s="94" t="s">
        <v>556</v>
      </c>
      <c r="C27" s="94"/>
      <c r="D27" s="94"/>
      <c r="E27" s="94"/>
      <c r="F27" s="94"/>
      <c r="G27" s="94"/>
      <c r="H27" s="94"/>
      <c r="I27" s="94"/>
      <c r="J27" s="25">
        <f>ROUND('Stavební rozpočet'!H180,2)</f>
        <v>0</v>
      </c>
      <c r="K27" s="25">
        <f>ROUND('Stavební rozpočet'!I180,2)</f>
        <v>0</v>
      </c>
      <c r="L27" s="45">
        <f>ROUND('Stavební rozpočet'!J180,2)</f>
        <v>0</v>
      </c>
      <c r="M27" s="44" t="s">
        <v>2573</v>
      </c>
      <c r="N27" s="25">
        <f t="shared" si="0"/>
        <v>0</v>
      </c>
      <c r="O27" s="3" t="s">
        <v>46</v>
      </c>
      <c r="P27" s="25">
        <f t="shared" si="1"/>
        <v>0</v>
      </c>
    </row>
    <row r="28" spans="1:16" x14ac:dyDescent="0.25">
      <c r="A28" s="2" t="s">
        <v>579</v>
      </c>
      <c r="B28" s="94" t="s">
        <v>580</v>
      </c>
      <c r="C28" s="94"/>
      <c r="D28" s="94"/>
      <c r="E28" s="94"/>
      <c r="F28" s="94"/>
      <c r="G28" s="94"/>
      <c r="H28" s="94"/>
      <c r="I28" s="94"/>
      <c r="J28" s="25">
        <f>ROUND('Stavební rozpočet'!H188,2)</f>
        <v>0</v>
      </c>
      <c r="K28" s="25">
        <f>ROUND('Stavební rozpočet'!I188,2)</f>
        <v>0</v>
      </c>
      <c r="L28" s="45">
        <f>ROUND('Stavební rozpočet'!J188,2)</f>
        <v>0</v>
      </c>
      <c r="M28" s="44" t="s">
        <v>2573</v>
      </c>
      <c r="N28" s="25">
        <f t="shared" si="0"/>
        <v>0</v>
      </c>
      <c r="O28" s="3" t="s">
        <v>46</v>
      </c>
      <c r="P28" s="25">
        <f t="shared" si="1"/>
        <v>0</v>
      </c>
    </row>
    <row r="29" spans="1:16" x14ac:dyDescent="0.25">
      <c r="A29" s="2" t="s">
        <v>836</v>
      </c>
      <c r="B29" s="94" t="s">
        <v>837</v>
      </c>
      <c r="C29" s="94"/>
      <c r="D29" s="94"/>
      <c r="E29" s="94"/>
      <c r="F29" s="94"/>
      <c r="G29" s="94"/>
      <c r="H29" s="94"/>
      <c r="I29" s="94"/>
      <c r="J29" s="25">
        <f>ROUND('Stavební rozpočet'!H273,2)</f>
        <v>0</v>
      </c>
      <c r="K29" s="25">
        <f>ROUND('Stavební rozpočet'!I273,2)</f>
        <v>0</v>
      </c>
      <c r="L29" s="45">
        <f>ROUND('Stavební rozpočet'!J273,2)</f>
        <v>0</v>
      </c>
      <c r="M29" s="44" t="s">
        <v>2573</v>
      </c>
      <c r="N29" s="25">
        <f t="shared" si="0"/>
        <v>0</v>
      </c>
      <c r="O29" s="3" t="s">
        <v>46</v>
      </c>
      <c r="P29" s="25">
        <f t="shared" si="1"/>
        <v>0</v>
      </c>
    </row>
    <row r="30" spans="1:16" x14ac:dyDescent="0.25">
      <c r="A30" s="2" t="s">
        <v>1022</v>
      </c>
      <c r="B30" s="94" t="s">
        <v>1023</v>
      </c>
      <c r="C30" s="94"/>
      <c r="D30" s="94"/>
      <c r="E30" s="94"/>
      <c r="F30" s="94"/>
      <c r="G30" s="94"/>
      <c r="H30" s="94"/>
      <c r="I30" s="94"/>
      <c r="J30" s="25">
        <f>ROUND('Stavební rozpočet'!H337,2)</f>
        <v>0</v>
      </c>
      <c r="K30" s="25">
        <f>ROUND('Stavební rozpočet'!I337,2)</f>
        <v>0</v>
      </c>
      <c r="L30" s="45">
        <f>ROUND('Stavební rozpočet'!J337,2)</f>
        <v>0</v>
      </c>
      <c r="M30" s="44" t="s">
        <v>2573</v>
      </c>
      <c r="N30" s="25">
        <f t="shared" si="0"/>
        <v>0</v>
      </c>
      <c r="O30" s="3" t="s">
        <v>46</v>
      </c>
      <c r="P30" s="25">
        <f t="shared" si="1"/>
        <v>0</v>
      </c>
    </row>
    <row r="31" spans="1:16" x14ac:dyDescent="0.25">
      <c r="A31" s="2" t="s">
        <v>1239</v>
      </c>
      <c r="B31" s="94" t="s">
        <v>1240</v>
      </c>
      <c r="C31" s="94"/>
      <c r="D31" s="94"/>
      <c r="E31" s="94"/>
      <c r="F31" s="94"/>
      <c r="G31" s="94"/>
      <c r="H31" s="94"/>
      <c r="I31" s="94"/>
      <c r="J31" s="25">
        <f>ROUND('Stavební rozpočet'!H409,2)</f>
        <v>0</v>
      </c>
      <c r="K31" s="25">
        <f>ROUND('Stavební rozpočet'!I409,2)</f>
        <v>0</v>
      </c>
      <c r="L31" s="45">
        <f>ROUND('Stavební rozpočet'!J409,2)</f>
        <v>0</v>
      </c>
      <c r="M31" s="44" t="s">
        <v>2573</v>
      </c>
      <c r="N31" s="25">
        <f t="shared" si="0"/>
        <v>0</v>
      </c>
      <c r="O31" s="3" t="s">
        <v>46</v>
      </c>
      <c r="P31" s="25">
        <f t="shared" si="1"/>
        <v>0</v>
      </c>
    </row>
    <row r="32" spans="1:16" x14ac:dyDescent="0.25">
      <c r="A32" s="2" t="s">
        <v>1420</v>
      </c>
      <c r="B32" s="94" t="s">
        <v>1421</v>
      </c>
      <c r="C32" s="94"/>
      <c r="D32" s="94"/>
      <c r="E32" s="94"/>
      <c r="F32" s="94"/>
      <c r="G32" s="94"/>
      <c r="H32" s="94"/>
      <c r="I32" s="94"/>
      <c r="J32" s="25">
        <f>ROUND('Stavební rozpočet'!H471,2)</f>
        <v>0</v>
      </c>
      <c r="K32" s="25">
        <f>ROUND('Stavební rozpočet'!I471,2)</f>
        <v>0</v>
      </c>
      <c r="L32" s="45">
        <f>ROUND('Stavební rozpočet'!J471,2)</f>
        <v>0</v>
      </c>
      <c r="M32" s="44" t="s">
        <v>2573</v>
      </c>
      <c r="N32" s="25">
        <f t="shared" si="0"/>
        <v>0</v>
      </c>
      <c r="O32" s="3" t="s">
        <v>46</v>
      </c>
      <c r="P32" s="25">
        <f t="shared" si="1"/>
        <v>0</v>
      </c>
    </row>
    <row r="33" spans="1:16" x14ac:dyDescent="0.25">
      <c r="A33" s="2" t="s">
        <v>1433</v>
      </c>
      <c r="B33" s="94" t="s">
        <v>1434</v>
      </c>
      <c r="C33" s="94"/>
      <c r="D33" s="94"/>
      <c r="E33" s="94"/>
      <c r="F33" s="94"/>
      <c r="G33" s="94"/>
      <c r="H33" s="94"/>
      <c r="I33" s="94"/>
      <c r="J33" s="25">
        <f>ROUND('Stavební rozpočet'!H475,2)</f>
        <v>0</v>
      </c>
      <c r="K33" s="25">
        <f>ROUND('Stavební rozpočet'!I475,2)</f>
        <v>0</v>
      </c>
      <c r="L33" s="45">
        <f>ROUND('Stavební rozpočet'!J475,2)</f>
        <v>0</v>
      </c>
      <c r="M33" s="44" t="s">
        <v>2573</v>
      </c>
      <c r="N33" s="25">
        <f t="shared" si="0"/>
        <v>0</v>
      </c>
      <c r="O33" s="3" t="s">
        <v>46</v>
      </c>
      <c r="P33" s="25">
        <f t="shared" si="1"/>
        <v>0</v>
      </c>
    </row>
    <row r="34" spans="1:16" x14ac:dyDescent="0.25">
      <c r="A34" s="2" t="s">
        <v>1448</v>
      </c>
      <c r="B34" s="94" t="s">
        <v>1449</v>
      </c>
      <c r="C34" s="94"/>
      <c r="D34" s="94"/>
      <c r="E34" s="94"/>
      <c r="F34" s="94"/>
      <c r="G34" s="94"/>
      <c r="H34" s="94"/>
      <c r="I34" s="94"/>
      <c r="J34" s="25">
        <f>ROUND('Stavební rozpočet'!H480,2)</f>
        <v>0</v>
      </c>
      <c r="K34" s="25">
        <f>ROUND('Stavební rozpočet'!I480,2)</f>
        <v>0</v>
      </c>
      <c r="L34" s="45">
        <f>ROUND('Stavební rozpočet'!J480,2)</f>
        <v>0</v>
      </c>
      <c r="M34" s="44" t="s">
        <v>2573</v>
      </c>
      <c r="N34" s="25">
        <f t="shared" si="0"/>
        <v>0</v>
      </c>
      <c r="O34" s="3" t="s">
        <v>46</v>
      </c>
      <c r="P34" s="25">
        <f t="shared" si="1"/>
        <v>0</v>
      </c>
    </row>
    <row r="35" spans="1:16" x14ac:dyDescent="0.25">
      <c r="A35" s="2" t="s">
        <v>1541</v>
      </c>
      <c r="B35" s="94" t="s">
        <v>1542</v>
      </c>
      <c r="C35" s="94"/>
      <c r="D35" s="94"/>
      <c r="E35" s="94"/>
      <c r="F35" s="94"/>
      <c r="G35" s="94"/>
      <c r="H35" s="94"/>
      <c r="I35" s="94"/>
      <c r="J35" s="25">
        <f>ROUND('Stavební rozpočet'!H511,2)</f>
        <v>0</v>
      </c>
      <c r="K35" s="25">
        <f>ROUND('Stavební rozpočet'!I511,2)</f>
        <v>0</v>
      </c>
      <c r="L35" s="45">
        <f>ROUND('Stavební rozpočet'!J511,2)</f>
        <v>0</v>
      </c>
      <c r="M35" s="44" t="s">
        <v>2573</v>
      </c>
      <c r="N35" s="25">
        <f t="shared" si="0"/>
        <v>0</v>
      </c>
      <c r="O35" s="3" t="s">
        <v>46</v>
      </c>
      <c r="P35" s="25">
        <f t="shared" si="1"/>
        <v>0</v>
      </c>
    </row>
    <row r="36" spans="1:16" x14ac:dyDescent="0.25">
      <c r="A36" s="2" t="s">
        <v>1646</v>
      </c>
      <c r="B36" s="94" t="s">
        <v>1647</v>
      </c>
      <c r="C36" s="94"/>
      <c r="D36" s="94"/>
      <c r="E36" s="94"/>
      <c r="F36" s="94"/>
      <c r="G36" s="94"/>
      <c r="H36" s="94"/>
      <c r="I36" s="94"/>
      <c r="J36" s="25">
        <f>ROUND('Stavební rozpočet'!H546,2)</f>
        <v>0</v>
      </c>
      <c r="K36" s="25">
        <f>ROUND('Stavební rozpočet'!I546,2)</f>
        <v>0</v>
      </c>
      <c r="L36" s="45">
        <f>ROUND('Stavební rozpočet'!J546,2)</f>
        <v>0</v>
      </c>
      <c r="M36" s="44" t="s">
        <v>2573</v>
      </c>
      <c r="N36" s="25">
        <f t="shared" si="0"/>
        <v>0</v>
      </c>
      <c r="O36" s="3" t="s">
        <v>46</v>
      </c>
      <c r="P36" s="25">
        <f t="shared" si="1"/>
        <v>0</v>
      </c>
    </row>
    <row r="37" spans="1:16" x14ac:dyDescent="0.25">
      <c r="A37" s="2" t="s">
        <v>1680</v>
      </c>
      <c r="B37" s="94" t="s">
        <v>1681</v>
      </c>
      <c r="C37" s="94"/>
      <c r="D37" s="94"/>
      <c r="E37" s="94"/>
      <c r="F37" s="94"/>
      <c r="G37" s="94"/>
      <c r="H37" s="94"/>
      <c r="I37" s="94"/>
      <c r="J37" s="25">
        <f>ROUND('Stavební rozpočet'!H557,2)</f>
        <v>0</v>
      </c>
      <c r="K37" s="25">
        <f>ROUND('Stavební rozpočet'!I557,2)</f>
        <v>0</v>
      </c>
      <c r="L37" s="45">
        <f>ROUND('Stavební rozpočet'!J557,2)</f>
        <v>0</v>
      </c>
      <c r="M37" s="44" t="s">
        <v>2573</v>
      </c>
      <c r="N37" s="25">
        <f t="shared" si="0"/>
        <v>0</v>
      </c>
      <c r="O37" s="3" t="s">
        <v>46</v>
      </c>
      <c r="P37" s="25">
        <f t="shared" si="1"/>
        <v>0</v>
      </c>
    </row>
    <row r="38" spans="1:16" x14ac:dyDescent="0.25">
      <c r="A38" s="2" t="s">
        <v>1716</v>
      </c>
      <c r="B38" s="94" t="s">
        <v>1717</v>
      </c>
      <c r="C38" s="94"/>
      <c r="D38" s="94"/>
      <c r="E38" s="94"/>
      <c r="F38" s="94"/>
      <c r="G38" s="94"/>
      <c r="H38" s="94"/>
      <c r="I38" s="94"/>
      <c r="J38" s="25">
        <f>ROUND('Stavební rozpočet'!H569,2)</f>
        <v>0</v>
      </c>
      <c r="K38" s="25">
        <f>ROUND('Stavební rozpočet'!I569,2)</f>
        <v>0</v>
      </c>
      <c r="L38" s="45">
        <f>ROUND('Stavební rozpočet'!J569,2)</f>
        <v>0</v>
      </c>
      <c r="M38" s="44" t="s">
        <v>2573</v>
      </c>
      <c r="N38" s="25">
        <f t="shared" si="0"/>
        <v>0</v>
      </c>
      <c r="O38" s="3" t="s">
        <v>46</v>
      </c>
      <c r="P38" s="25">
        <f t="shared" si="1"/>
        <v>0</v>
      </c>
    </row>
    <row r="39" spans="1:16" x14ac:dyDescent="0.25">
      <c r="A39" s="2" t="s">
        <v>1744</v>
      </c>
      <c r="B39" s="94" t="s">
        <v>1745</v>
      </c>
      <c r="C39" s="94"/>
      <c r="D39" s="94"/>
      <c r="E39" s="94"/>
      <c r="F39" s="94"/>
      <c r="G39" s="94"/>
      <c r="H39" s="94"/>
      <c r="I39" s="94"/>
      <c r="J39" s="25">
        <f>ROUND('Stavební rozpočet'!H578,2)</f>
        <v>0</v>
      </c>
      <c r="K39" s="25">
        <f>ROUND('Stavební rozpočet'!I578,2)</f>
        <v>0</v>
      </c>
      <c r="L39" s="45">
        <f>ROUND('Stavební rozpočet'!J578,2)</f>
        <v>0</v>
      </c>
      <c r="M39" s="44" t="s">
        <v>2573</v>
      </c>
      <c r="N39" s="25">
        <f t="shared" si="0"/>
        <v>0</v>
      </c>
      <c r="O39" s="3" t="s">
        <v>46</v>
      </c>
      <c r="P39" s="25">
        <f t="shared" si="1"/>
        <v>0</v>
      </c>
    </row>
    <row r="40" spans="1:16" x14ac:dyDescent="0.25">
      <c r="A40" s="2" t="s">
        <v>1777</v>
      </c>
      <c r="B40" s="94" t="s">
        <v>1778</v>
      </c>
      <c r="C40" s="94"/>
      <c r="D40" s="94"/>
      <c r="E40" s="94"/>
      <c r="F40" s="94"/>
      <c r="G40" s="94"/>
      <c r="H40" s="94"/>
      <c r="I40" s="94"/>
      <c r="J40" s="25">
        <f>ROUND('Stavební rozpočet'!H590,2)</f>
        <v>0</v>
      </c>
      <c r="K40" s="25">
        <f>ROUND('Stavební rozpočet'!I590,2)</f>
        <v>0</v>
      </c>
      <c r="L40" s="45">
        <f>ROUND('Stavební rozpočet'!J590,2)</f>
        <v>0</v>
      </c>
      <c r="M40" s="44" t="s">
        <v>2573</v>
      </c>
      <c r="N40" s="25">
        <f t="shared" si="0"/>
        <v>0</v>
      </c>
      <c r="O40" s="3" t="s">
        <v>46</v>
      </c>
      <c r="P40" s="25">
        <f t="shared" si="1"/>
        <v>0</v>
      </c>
    </row>
    <row r="41" spans="1:16" x14ac:dyDescent="0.25">
      <c r="A41" s="2" t="s">
        <v>1809</v>
      </c>
      <c r="B41" s="94" t="s">
        <v>1810</v>
      </c>
      <c r="C41" s="94"/>
      <c r="D41" s="94"/>
      <c r="E41" s="94"/>
      <c r="F41" s="94"/>
      <c r="G41" s="94"/>
      <c r="H41" s="94"/>
      <c r="I41" s="94"/>
      <c r="J41" s="25">
        <f>ROUND('Stavební rozpočet'!H602,2)</f>
        <v>0</v>
      </c>
      <c r="K41" s="25">
        <f>ROUND('Stavební rozpočet'!I602,2)</f>
        <v>0</v>
      </c>
      <c r="L41" s="45">
        <f>ROUND('Stavební rozpočet'!J602,2)</f>
        <v>0</v>
      </c>
      <c r="M41" s="44" t="s">
        <v>2573</v>
      </c>
      <c r="N41" s="25">
        <f t="shared" si="0"/>
        <v>0</v>
      </c>
      <c r="O41" s="3" t="s">
        <v>46</v>
      </c>
      <c r="P41" s="25">
        <f t="shared" si="1"/>
        <v>0</v>
      </c>
    </row>
    <row r="42" spans="1:16" x14ac:dyDescent="0.25">
      <c r="A42" s="2" t="s">
        <v>1830</v>
      </c>
      <c r="B42" s="94" t="s">
        <v>1831</v>
      </c>
      <c r="C42" s="94"/>
      <c r="D42" s="94"/>
      <c r="E42" s="94"/>
      <c r="F42" s="94"/>
      <c r="G42" s="94"/>
      <c r="H42" s="94"/>
      <c r="I42" s="94"/>
      <c r="J42" s="25">
        <f>ROUND('Stavební rozpočet'!H609,2)</f>
        <v>0</v>
      </c>
      <c r="K42" s="25">
        <f>ROUND('Stavební rozpočet'!I609,2)</f>
        <v>0</v>
      </c>
      <c r="L42" s="45">
        <f>ROUND('Stavební rozpočet'!J609,2)</f>
        <v>0</v>
      </c>
      <c r="M42" s="44" t="s">
        <v>2573</v>
      </c>
      <c r="N42" s="25">
        <f t="shared" si="0"/>
        <v>0</v>
      </c>
      <c r="O42" s="3" t="s">
        <v>46</v>
      </c>
      <c r="P42" s="25">
        <f t="shared" si="1"/>
        <v>0</v>
      </c>
    </row>
    <row r="43" spans="1:16" x14ac:dyDescent="0.25">
      <c r="A43" s="2" t="s">
        <v>2124</v>
      </c>
      <c r="B43" s="94" t="s">
        <v>2125</v>
      </c>
      <c r="C43" s="94"/>
      <c r="D43" s="94"/>
      <c r="E43" s="94"/>
      <c r="F43" s="94"/>
      <c r="G43" s="94"/>
      <c r="H43" s="94"/>
      <c r="I43" s="94"/>
      <c r="J43" s="25">
        <f>ROUND('Stavební rozpočet'!H707,2)</f>
        <v>0</v>
      </c>
      <c r="K43" s="25">
        <f>ROUND('Stavební rozpočet'!I707,2)</f>
        <v>0</v>
      </c>
      <c r="L43" s="45">
        <f>ROUND('Stavební rozpočet'!J707,2)</f>
        <v>0</v>
      </c>
      <c r="M43" s="44" t="s">
        <v>2573</v>
      </c>
      <c r="N43" s="25">
        <f t="shared" si="0"/>
        <v>0</v>
      </c>
      <c r="O43" s="3" t="s">
        <v>46</v>
      </c>
      <c r="P43" s="25">
        <f t="shared" si="1"/>
        <v>0</v>
      </c>
    </row>
    <row r="44" spans="1:16" x14ac:dyDescent="0.25">
      <c r="A44" s="2" t="s">
        <v>2241</v>
      </c>
      <c r="B44" s="94" t="s">
        <v>2242</v>
      </c>
      <c r="C44" s="94"/>
      <c r="D44" s="94"/>
      <c r="E44" s="94"/>
      <c r="F44" s="94"/>
      <c r="G44" s="94"/>
      <c r="H44" s="94"/>
      <c r="I44" s="94"/>
      <c r="J44" s="25">
        <f>ROUND('Stavební rozpočet'!H746,2)</f>
        <v>0</v>
      </c>
      <c r="K44" s="25">
        <f>ROUND('Stavební rozpočet'!I746,2)</f>
        <v>0</v>
      </c>
      <c r="L44" s="45">
        <f>ROUND('Stavební rozpočet'!J746,2)</f>
        <v>0</v>
      </c>
      <c r="M44" s="44" t="s">
        <v>2573</v>
      </c>
      <c r="N44" s="25">
        <f t="shared" si="0"/>
        <v>0</v>
      </c>
      <c r="O44" s="3" t="s">
        <v>46</v>
      </c>
      <c r="P44" s="25">
        <f t="shared" si="1"/>
        <v>0</v>
      </c>
    </row>
    <row r="45" spans="1:16" x14ac:dyDescent="0.25">
      <c r="A45" s="2" t="s">
        <v>2295</v>
      </c>
      <c r="B45" s="94" t="s">
        <v>2296</v>
      </c>
      <c r="C45" s="94"/>
      <c r="D45" s="94"/>
      <c r="E45" s="94"/>
      <c r="F45" s="94"/>
      <c r="G45" s="94"/>
      <c r="H45" s="94"/>
      <c r="I45" s="94"/>
      <c r="J45" s="25">
        <f>ROUND('Stavební rozpočet'!H766,2)</f>
        <v>0</v>
      </c>
      <c r="K45" s="25">
        <f>ROUND('Stavební rozpočet'!I766,2)</f>
        <v>0</v>
      </c>
      <c r="L45" s="45">
        <f>ROUND('Stavební rozpočet'!J766,2)</f>
        <v>0</v>
      </c>
      <c r="M45" s="44" t="s">
        <v>2573</v>
      </c>
      <c r="N45" s="25">
        <f t="shared" si="0"/>
        <v>0</v>
      </c>
      <c r="O45" s="3" t="s">
        <v>46</v>
      </c>
      <c r="P45" s="25">
        <f t="shared" si="1"/>
        <v>0</v>
      </c>
    </row>
    <row r="46" spans="1:16" x14ac:dyDescent="0.25">
      <c r="A46" s="2" t="s">
        <v>2343</v>
      </c>
      <c r="B46" s="94" t="s">
        <v>2344</v>
      </c>
      <c r="C46" s="94"/>
      <c r="D46" s="94"/>
      <c r="E46" s="94"/>
      <c r="F46" s="94"/>
      <c r="G46" s="94"/>
      <c r="H46" s="94"/>
      <c r="I46" s="94"/>
      <c r="J46" s="25">
        <f>ROUND('Stavební rozpočet'!H786,2)</f>
        <v>0</v>
      </c>
      <c r="K46" s="25">
        <f>ROUND('Stavební rozpočet'!I786,2)</f>
        <v>0</v>
      </c>
      <c r="L46" s="45">
        <f>ROUND('Stavební rozpočet'!J786,2)</f>
        <v>0</v>
      </c>
      <c r="M46" s="44" t="s">
        <v>2573</v>
      </c>
      <c r="N46" s="25">
        <f t="shared" si="0"/>
        <v>0</v>
      </c>
      <c r="O46" s="3" t="s">
        <v>46</v>
      </c>
      <c r="P46" s="25">
        <f t="shared" si="1"/>
        <v>0</v>
      </c>
    </row>
    <row r="47" spans="1:16" x14ac:dyDescent="0.25">
      <c r="A47" s="2" t="s">
        <v>2380</v>
      </c>
      <c r="B47" s="94" t="s">
        <v>2381</v>
      </c>
      <c r="C47" s="94"/>
      <c r="D47" s="94"/>
      <c r="E47" s="94"/>
      <c r="F47" s="94"/>
      <c r="G47" s="94"/>
      <c r="H47" s="94"/>
      <c r="I47" s="94"/>
      <c r="J47" s="25">
        <f>ROUND('Stavební rozpočet'!H801,2)</f>
        <v>0</v>
      </c>
      <c r="K47" s="25">
        <f>ROUND('Stavební rozpočet'!I801,2)</f>
        <v>0</v>
      </c>
      <c r="L47" s="45">
        <f>ROUND('Stavební rozpočet'!J801,2)</f>
        <v>0</v>
      </c>
      <c r="M47" s="44" t="s">
        <v>2573</v>
      </c>
      <c r="N47" s="25">
        <f t="shared" si="0"/>
        <v>0</v>
      </c>
      <c r="O47" s="3" t="s">
        <v>46</v>
      </c>
      <c r="P47" s="25">
        <f t="shared" si="1"/>
        <v>0</v>
      </c>
    </row>
    <row r="48" spans="1:16" x14ac:dyDescent="0.25">
      <c r="A48" s="2" t="s">
        <v>2409</v>
      </c>
      <c r="B48" s="94" t="s">
        <v>2410</v>
      </c>
      <c r="C48" s="94"/>
      <c r="D48" s="94"/>
      <c r="E48" s="94"/>
      <c r="F48" s="94"/>
      <c r="G48" s="94"/>
      <c r="H48" s="94"/>
      <c r="I48" s="94"/>
      <c r="J48" s="25">
        <f>ROUND('Stavební rozpočet'!H816,2)</f>
        <v>0</v>
      </c>
      <c r="K48" s="25">
        <f>ROUND('Stavební rozpočet'!I816,2)</f>
        <v>0</v>
      </c>
      <c r="L48" s="45">
        <f>ROUND('Stavební rozpočet'!J816,2)</f>
        <v>0</v>
      </c>
      <c r="M48" s="44" t="s">
        <v>2573</v>
      </c>
      <c r="N48" s="25">
        <f t="shared" si="0"/>
        <v>0</v>
      </c>
      <c r="O48" s="3" t="s">
        <v>46</v>
      </c>
      <c r="P48" s="25">
        <f t="shared" si="1"/>
        <v>0</v>
      </c>
    </row>
    <row r="49" spans="1:16" x14ac:dyDescent="0.25">
      <c r="A49" s="2" t="s">
        <v>2446</v>
      </c>
      <c r="B49" s="94" t="s">
        <v>2447</v>
      </c>
      <c r="C49" s="94"/>
      <c r="D49" s="94"/>
      <c r="E49" s="94"/>
      <c r="F49" s="94"/>
      <c r="G49" s="94"/>
      <c r="H49" s="94"/>
      <c r="I49" s="94"/>
      <c r="J49" s="25">
        <f>ROUND('Stavební rozpočet'!H829,2)</f>
        <v>0</v>
      </c>
      <c r="K49" s="25">
        <f>ROUND('Stavební rozpočet'!I829,2)</f>
        <v>0</v>
      </c>
      <c r="L49" s="45">
        <f>ROUND('Stavební rozpočet'!J829,2)</f>
        <v>0</v>
      </c>
      <c r="M49" s="44" t="s">
        <v>2573</v>
      </c>
      <c r="N49" s="25">
        <f t="shared" si="0"/>
        <v>0</v>
      </c>
      <c r="O49" s="3" t="s">
        <v>46</v>
      </c>
      <c r="P49" s="25">
        <f t="shared" si="1"/>
        <v>0</v>
      </c>
    </row>
    <row r="50" spans="1:16" x14ac:dyDescent="0.25">
      <c r="A50" s="2" t="s">
        <v>2535</v>
      </c>
      <c r="B50" s="94" t="s">
        <v>2536</v>
      </c>
      <c r="C50" s="94"/>
      <c r="D50" s="94"/>
      <c r="E50" s="94"/>
      <c r="F50" s="94"/>
      <c r="G50" s="94"/>
      <c r="H50" s="94"/>
      <c r="I50" s="94"/>
      <c r="J50" s="25">
        <f>ROUND('Stavební rozpočet'!H863,2)</f>
        <v>0</v>
      </c>
      <c r="K50" s="25">
        <f>ROUND('Stavební rozpočet'!I863,2)</f>
        <v>0</v>
      </c>
      <c r="L50" s="45">
        <f>ROUND('Stavební rozpočet'!J863,2)</f>
        <v>0</v>
      </c>
      <c r="M50" s="44" t="s">
        <v>2573</v>
      </c>
      <c r="N50" s="25">
        <f t="shared" si="0"/>
        <v>0</v>
      </c>
      <c r="O50" s="3" t="s">
        <v>46</v>
      </c>
      <c r="P50" s="25">
        <f t="shared" si="1"/>
        <v>0</v>
      </c>
    </row>
    <row r="51" spans="1:16" x14ac:dyDescent="0.25">
      <c r="A51" s="2" t="s">
        <v>2545</v>
      </c>
      <c r="B51" s="94" t="s">
        <v>2546</v>
      </c>
      <c r="C51" s="94"/>
      <c r="D51" s="94"/>
      <c r="E51" s="94"/>
      <c r="F51" s="94"/>
      <c r="G51" s="94"/>
      <c r="H51" s="94"/>
      <c r="I51" s="94"/>
      <c r="J51" s="25">
        <f>ROUND('Stavební rozpočet'!H866,2)</f>
        <v>0</v>
      </c>
      <c r="K51" s="25">
        <f>ROUND('Stavební rozpočet'!I866,2)</f>
        <v>0</v>
      </c>
      <c r="L51" s="45">
        <f>ROUND('Stavební rozpočet'!J866,2)</f>
        <v>0</v>
      </c>
      <c r="M51" s="44" t="s">
        <v>2573</v>
      </c>
      <c r="N51" s="25">
        <f t="shared" si="0"/>
        <v>0</v>
      </c>
      <c r="O51" s="3" t="s">
        <v>46</v>
      </c>
      <c r="P51" s="25">
        <f t="shared" si="1"/>
        <v>0</v>
      </c>
    </row>
    <row r="52" spans="1:16" x14ac:dyDescent="0.25">
      <c r="A52" s="2" t="s">
        <v>2550</v>
      </c>
      <c r="B52" s="94" t="s">
        <v>2551</v>
      </c>
      <c r="C52" s="94"/>
      <c r="D52" s="94"/>
      <c r="E52" s="94"/>
      <c r="F52" s="94"/>
      <c r="G52" s="94"/>
      <c r="H52" s="94"/>
      <c r="I52" s="94"/>
      <c r="J52" s="25">
        <f>ROUND('Stavební rozpočet'!H868,2)</f>
        <v>0</v>
      </c>
      <c r="K52" s="25">
        <f>ROUND('Stavební rozpočet'!I868,2)</f>
        <v>0</v>
      </c>
      <c r="L52" s="45">
        <f>ROUND('Stavební rozpočet'!J868,2)</f>
        <v>0</v>
      </c>
      <c r="M52" s="44" t="s">
        <v>2573</v>
      </c>
      <c r="N52" s="25">
        <f t="shared" si="0"/>
        <v>0</v>
      </c>
      <c r="O52" s="3" t="s">
        <v>46</v>
      </c>
      <c r="P52" s="25">
        <f t="shared" si="1"/>
        <v>0</v>
      </c>
    </row>
    <row r="53" spans="1:16" x14ac:dyDescent="0.25">
      <c r="A53" s="2" t="s">
        <v>2559</v>
      </c>
      <c r="B53" s="94" t="s">
        <v>2560</v>
      </c>
      <c r="C53" s="94"/>
      <c r="D53" s="94"/>
      <c r="E53" s="94"/>
      <c r="F53" s="94"/>
      <c r="G53" s="94"/>
      <c r="H53" s="94"/>
      <c r="I53" s="94"/>
      <c r="J53" s="25">
        <f>ROUND('Stavební rozpočet'!H871,2)</f>
        <v>0</v>
      </c>
      <c r="K53" s="25">
        <f>ROUND('Stavební rozpočet'!I871,2)</f>
        <v>0</v>
      </c>
      <c r="L53" s="45">
        <f>ROUND('Stavební rozpočet'!J871,2)</f>
        <v>0</v>
      </c>
      <c r="M53" s="44" t="s">
        <v>2573</v>
      </c>
      <c r="N53" s="25">
        <f t="shared" si="0"/>
        <v>0</v>
      </c>
      <c r="O53" s="3" t="s">
        <v>46</v>
      </c>
      <c r="P53" s="25">
        <f t="shared" si="1"/>
        <v>0</v>
      </c>
    </row>
    <row r="54" spans="1:16" x14ac:dyDescent="0.25">
      <c r="A54" s="32" t="s">
        <v>2564</v>
      </c>
      <c r="B54" s="130" t="s">
        <v>2565</v>
      </c>
      <c r="C54" s="130"/>
      <c r="D54" s="130"/>
      <c r="E54" s="130"/>
      <c r="F54" s="130"/>
      <c r="G54" s="130"/>
      <c r="H54" s="130"/>
      <c r="I54" s="130"/>
      <c r="J54" s="34">
        <f>ROUND('Stavební rozpočet'!H873,2)</f>
        <v>0</v>
      </c>
      <c r="K54" s="34">
        <f>ROUND('Stavební rozpočet'!I873,2)</f>
        <v>0</v>
      </c>
      <c r="L54" s="46">
        <f>ROUND('Stavební rozpočet'!J873,2)</f>
        <v>0</v>
      </c>
      <c r="M54" s="44" t="s">
        <v>2573</v>
      </c>
      <c r="N54" s="25">
        <f t="shared" si="0"/>
        <v>0</v>
      </c>
      <c r="O54" s="3" t="s">
        <v>46</v>
      </c>
      <c r="P54" s="25">
        <f t="shared" si="1"/>
        <v>0</v>
      </c>
    </row>
    <row r="55" spans="1:16" x14ac:dyDescent="0.25">
      <c r="J55" s="149" t="s">
        <v>2569</v>
      </c>
      <c r="K55" s="149"/>
      <c r="L55" s="36">
        <f>ROUND(SUM(N12:N54),1)</f>
        <v>0</v>
      </c>
    </row>
    <row r="56" spans="1:16" x14ac:dyDescent="0.25">
      <c r="A56" s="37" t="s">
        <v>2570</v>
      </c>
    </row>
    <row r="57" spans="1:16" ht="12.75" customHeight="1" x14ac:dyDescent="0.25">
      <c r="A57" s="93" t="s">
        <v>46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</row>
  </sheetData>
  <mergeCells count="73"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H6:H7"/>
    <mergeCell ref="J2:L3"/>
    <mergeCell ref="J4:L5"/>
    <mergeCell ref="J6:L7"/>
    <mergeCell ref="J8:L9"/>
    <mergeCell ref="B10:I10"/>
    <mergeCell ref="H8:H9"/>
    <mergeCell ref="I2:I3"/>
    <mergeCell ref="I4:I5"/>
    <mergeCell ref="I6:I7"/>
    <mergeCell ref="I8:I9"/>
    <mergeCell ref="B11:I11"/>
    <mergeCell ref="J10:L10"/>
    <mergeCell ref="B12:I12"/>
    <mergeCell ref="B13:I13"/>
    <mergeCell ref="B14:I14"/>
    <mergeCell ref="B15:I15"/>
    <mergeCell ref="B16:I16"/>
    <mergeCell ref="B17:I17"/>
    <mergeCell ref="B18:I18"/>
    <mergeCell ref="B19:I19"/>
    <mergeCell ref="B20:I20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38:I38"/>
    <mergeCell ref="B39:I39"/>
    <mergeCell ref="B40:I40"/>
    <mergeCell ref="B41:I41"/>
    <mergeCell ref="B42:I42"/>
    <mergeCell ref="B43:I43"/>
    <mergeCell ref="B44:I44"/>
    <mergeCell ref="B45:I45"/>
    <mergeCell ref="B46:I46"/>
    <mergeCell ref="B47:I47"/>
    <mergeCell ref="B48:I48"/>
    <mergeCell ref="B49:I49"/>
    <mergeCell ref="J55:K55"/>
    <mergeCell ref="A57:L57"/>
    <mergeCell ref="B50:I50"/>
    <mergeCell ref="B51:I51"/>
    <mergeCell ref="B52:I52"/>
    <mergeCell ref="B53:I53"/>
    <mergeCell ref="B54:I54"/>
  </mergeCells>
  <pageMargins left="0.393999993801117" right="0.393999993801117" top="0.59100002050399802" bottom="0.59100002050399802" header="0" footer="0"/>
  <pageSetup fitToHeight="0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310"/>
  <sheetViews>
    <sheetView workbookViewId="0">
      <selection activeCell="A2" sqref="A2:B3"/>
    </sheetView>
  </sheetViews>
  <sheetFormatPr defaultColWidth="12.140625" defaultRowHeight="15" customHeight="1" x14ac:dyDescent="0.25"/>
  <cols>
    <col min="1" max="2" width="9.140625" customWidth="1"/>
    <col min="3" max="3" width="14.28515625" customWidth="1"/>
    <col min="4" max="4" width="72.28515625" customWidth="1"/>
    <col min="5" max="5" width="26.5703125" customWidth="1"/>
    <col min="6" max="6" width="7.28515625" customWidth="1"/>
    <col min="7" max="7" width="12.140625" customWidth="1"/>
    <col min="8" max="8" width="20" hidden="1" customWidth="1"/>
  </cols>
  <sheetData>
    <row r="1" spans="1:8" ht="54.75" customHeight="1" x14ac:dyDescent="0.25">
      <c r="A1" s="138" t="s">
        <v>2591</v>
      </c>
      <c r="B1" s="138"/>
      <c r="C1" s="138"/>
      <c r="D1" s="138"/>
      <c r="E1" s="138"/>
      <c r="F1" s="138"/>
      <c r="G1" s="138"/>
      <c r="H1" s="138"/>
    </row>
    <row r="2" spans="1:8" x14ac:dyDescent="0.25">
      <c r="A2" s="139" t="s">
        <v>1</v>
      </c>
      <c r="B2" s="140"/>
      <c r="C2" s="134" t="str">
        <f>'Stavební rozpočet'!C2</f>
        <v>Modernizace 4.NP Hlavního pavilonu nemocnice Semily</v>
      </c>
      <c r="D2" s="135"/>
      <c r="E2" s="131" t="s">
        <v>5</v>
      </c>
      <c r="F2" s="131" t="str">
        <f>'Stavební rozpočet'!I2</f>
        <v> </v>
      </c>
      <c r="G2" s="140"/>
      <c r="H2" s="142"/>
    </row>
    <row r="3" spans="1:8" ht="15" customHeight="1" x14ac:dyDescent="0.25">
      <c r="A3" s="141"/>
      <c r="B3" s="94"/>
      <c r="C3" s="136"/>
      <c r="D3" s="136"/>
      <c r="E3" s="94"/>
      <c r="F3" s="94"/>
      <c r="G3" s="94"/>
      <c r="H3" s="143"/>
    </row>
    <row r="4" spans="1:8" x14ac:dyDescent="0.25">
      <c r="A4" s="132" t="s">
        <v>7</v>
      </c>
      <c r="B4" s="94"/>
      <c r="C4" s="93" t="str">
        <f>'Stavební rozpočet'!C4</f>
        <v xml:space="preserve"> </v>
      </c>
      <c r="D4" s="94"/>
      <c r="E4" s="93" t="s">
        <v>9</v>
      </c>
      <c r="F4" s="93" t="str">
        <f>'Stavební rozpočet'!I4</f>
        <v> </v>
      </c>
      <c r="G4" s="94"/>
      <c r="H4" s="143"/>
    </row>
    <row r="5" spans="1:8" ht="15" customHeight="1" x14ac:dyDescent="0.25">
      <c r="A5" s="141"/>
      <c r="B5" s="94"/>
      <c r="C5" s="94"/>
      <c r="D5" s="94"/>
      <c r="E5" s="94"/>
      <c r="F5" s="94"/>
      <c r="G5" s="94"/>
      <c r="H5" s="143"/>
    </row>
    <row r="6" spans="1:8" x14ac:dyDescent="0.25">
      <c r="A6" s="132" t="s">
        <v>10</v>
      </c>
      <c r="B6" s="94"/>
      <c r="C6" s="93" t="str">
        <f>'Stavební rozpočet'!C6</f>
        <v>p.p.č.519/1, k.ú.Semily (747246)  3.května č.p.421, 513 01 Semily, Česká republika</v>
      </c>
      <c r="D6" s="94"/>
      <c r="E6" s="93" t="s">
        <v>13</v>
      </c>
      <c r="F6" s="93" t="str">
        <f>'Stavební rozpočet'!I6</f>
        <v> </v>
      </c>
      <c r="G6" s="94"/>
      <c r="H6" s="143"/>
    </row>
    <row r="7" spans="1:8" ht="15" customHeight="1" x14ac:dyDescent="0.25">
      <c r="A7" s="141"/>
      <c r="B7" s="94"/>
      <c r="C7" s="94"/>
      <c r="D7" s="94"/>
      <c r="E7" s="94"/>
      <c r="F7" s="94"/>
      <c r="G7" s="94"/>
      <c r="H7" s="143"/>
    </row>
    <row r="8" spans="1:8" x14ac:dyDescent="0.25">
      <c r="A8" s="132" t="s">
        <v>16</v>
      </c>
      <c r="B8" s="94"/>
      <c r="C8" s="93" t="str">
        <f>'Stavební rozpočet'!I8</f>
        <v> </v>
      </c>
      <c r="D8" s="94"/>
      <c r="E8" s="93" t="s">
        <v>15</v>
      </c>
      <c r="F8" s="93"/>
      <c r="G8" s="94"/>
      <c r="H8" s="143"/>
    </row>
    <row r="9" spans="1:8" x14ac:dyDescent="0.25">
      <c r="A9" s="164"/>
      <c r="B9" s="160"/>
      <c r="C9" s="160"/>
      <c r="D9" s="160"/>
      <c r="E9" s="160"/>
      <c r="F9" s="160"/>
      <c r="G9" s="160"/>
      <c r="H9" s="161"/>
    </row>
    <row r="10" spans="1:8" x14ac:dyDescent="0.25">
      <c r="A10" s="47" t="s">
        <v>17</v>
      </c>
      <c r="B10" s="49" t="s">
        <v>2586</v>
      </c>
      <c r="C10" s="49" t="s">
        <v>18</v>
      </c>
      <c r="D10" s="173" t="s">
        <v>19</v>
      </c>
      <c r="E10" s="174"/>
      <c r="F10" s="49" t="s">
        <v>20</v>
      </c>
      <c r="G10" s="50" t="s">
        <v>21</v>
      </c>
      <c r="H10" s="51" t="s">
        <v>2592</v>
      </c>
    </row>
    <row r="11" spans="1:8" x14ac:dyDescent="0.25">
      <c r="A11" s="52" t="s">
        <v>46</v>
      </c>
      <c r="B11" s="21" t="s">
        <v>46</v>
      </c>
      <c r="C11" s="21" t="s">
        <v>47</v>
      </c>
      <c r="D11" s="159" t="s">
        <v>48</v>
      </c>
      <c r="E11" s="159"/>
      <c r="F11" s="21" t="s">
        <v>46</v>
      </c>
      <c r="G11" s="53" t="s">
        <v>46</v>
      </c>
      <c r="H11" s="24" t="s">
        <v>46</v>
      </c>
    </row>
    <row r="12" spans="1:8" x14ac:dyDescent="0.25">
      <c r="A12" s="2" t="s">
        <v>49</v>
      </c>
      <c r="B12" s="3" t="s">
        <v>46</v>
      </c>
      <c r="C12" s="3" t="s">
        <v>50</v>
      </c>
      <c r="D12" s="94" t="s">
        <v>51</v>
      </c>
      <c r="E12" s="94"/>
      <c r="F12" s="3" t="s">
        <v>52</v>
      </c>
      <c r="G12" s="25">
        <v>9</v>
      </c>
      <c r="H12" s="45">
        <v>0</v>
      </c>
    </row>
    <row r="13" spans="1:8" x14ac:dyDescent="0.25">
      <c r="A13" s="54"/>
      <c r="D13" s="55" t="s">
        <v>65</v>
      </c>
      <c r="E13" s="171" t="s">
        <v>46</v>
      </c>
      <c r="F13" s="171"/>
      <c r="G13" s="56">
        <v>4</v>
      </c>
      <c r="H13" s="57"/>
    </row>
    <row r="14" spans="1:8" x14ac:dyDescent="0.25">
      <c r="A14" s="2" t="s">
        <v>46</v>
      </c>
      <c r="B14" s="3" t="s">
        <v>46</v>
      </c>
      <c r="C14" s="3" t="s">
        <v>46</v>
      </c>
      <c r="D14" s="55" t="s">
        <v>68</v>
      </c>
      <c r="E14" s="171" t="s">
        <v>46</v>
      </c>
      <c r="F14" s="171"/>
      <c r="G14" s="56">
        <v>5</v>
      </c>
      <c r="H14" s="26" t="s">
        <v>46</v>
      </c>
    </row>
    <row r="15" spans="1:8" x14ac:dyDescent="0.25">
      <c r="A15" s="2" t="s">
        <v>58</v>
      </c>
      <c r="B15" s="3" t="s">
        <v>46</v>
      </c>
      <c r="C15" s="3" t="s">
        <v>59</v>
      </c>
      <c r="D15" s="94" t="s">
        <v>60</v>
      </c>
      <c r="E15" s="94"/>
      <c r="F15" s="3" t="s">
        <v>61</v>
      </c>
      <c r="G15" s="25">
        <v>0.76900000000000002</v>
      </c>
      <c r="H15" s="45">
        <v>0</v>
      </c>
    </row>
    <row r="16" spans="1:8" x14ac:dyDescent="0.25">
      <c r="A16" s="54"/>
      <c r="D16" s="55" t="s">
        <v>2593</v>
      </c>
      <c r="E16" s="171" t="s">
        <v>46</v>
      </c>
      <c r="F16" s="171"/>
      <c r="G16" s="56">
        <v>0.58499999999999996</v>
      </c>
      <c r="H16" s="57"/>
    </row>
    <row r="17" spans="1:8" x14ac:dyDescent="0.25">
      <c r="A17" s="2" t="s">
        <v>46</v>
      </c>
      <c r="B17" s="3" t="s">
        <v>46</v>
      </c>
      <c r="C17" s="3" t="s">
        <v>46</v>
      </c>
      <c r="D17" s="55" t="s">
        <v>2594</v>
      </c>
      <c r="E17" s="171" t="s">
        <v>46</v>
      </c>
      <c r="F17" s="171"/>
      <c r="G17" s="56">
        <v>0.184</v>
      </c>
      <c r="H17" s="26" t="s">
        <v>46</v>
      </c>
    </row>
    <row r="18" spans="1:8" x14ac:dyDescent="0.25">
      <c r="A18" s="2" t="s">
        <v>62</v>
      </c>
      <c r="B18" s="3" t="s">
        <v>46</v>
      </c>
      <c r="C18" s="3" t="s">
        <v>63</v>
      </c>
      <c r="D18" s="94" t="s">
        <v>64</v>
      </c>
      <c r="E18" s="94"/>
      <c r="F18" s="3" t="s">
        <v>61</v>
      </c>
      <c r="G18" s="25">
        <v>1.929</v>
      </c>
      <c r="H18" s="45">
        <v>0</v>
      </c>
    </row>
    <row r="19" spans="1:8" x14ac:dyDescent="0.25">
      <c r="A19" s="54"/>
      <c r="D19" s="55" t="s">
        <v>2595</v>
      </c>
      <c r="E19" s="171" t="s">
        <v>46</v>
      </c>
      <c r="F19" s="171"/>
      <c r="G19" s="56">
        <v>0.879</v>
      </c>
      <c r="H19" s="57"/>
    </row>
    <row r="20" spans="1:8" x14ac:dyDescent="0.25">
      <c r="A20" s="2" t="s">
        <v>46</v>
      </c>
      <c r="B20" s="3" t="s">
        <v>46</v>
      </c>
      <c r="C20" s="3" t="s">
        <v>46</v>
      </c>
      <c r="D20" s="55" t="s">
        <v>2596</v>
      </c>
      <c r="E20" s="171" t="s">
        <v>46</v>
      </c>
      <c r="F20" s="171"/>
      <c r="G20" s="56">
        <v>1.05</v>
      </c>
      <c r="H20" s="26" t="s">
        <v>46</v>
      </c>
    </row>
    <row r="21" spans="1:8" x14ac:dyDescent="0.25">
      <c r="A21" s="2" t="s">
        <v>65</v>
      </c>
      <c r="B21" s="3" t="s">
        <v>46</v>
      </c>
      <c r="C21" s="3" t="s">
        <v>66</v>
      </c>
      <c r="D21" s="94" t="s">
        <v>67</v>
      </c>
      <c r="E21" s="94"/>
      <c r="F21" s="3" t="s">
        <v>61</v>
      </c>
      <c r="G21" s="25">
        <v>0.499</v>
      </c>
      <c r="H21" s="45">
        <v>0</v>
      </c>
    </row>
    <row r="22" spans="1:8" x14ac:dyDescent="0.25">
      <c r="A22" s="54"/>
      <c r="D22" s="55" t="s">
        <v>2597</v>
      </c>
      <c r="E22" s="171" t="s">
        <v>46</v>
      </c>
      <c r="F22" s="171"/>
      <c r="G22" s="56">
        <v>0.499</v>
      </c>
      <c r="H22" s="57"/>
    </row>
    <row r="23" spans="1:8" x14ac:dyDescent="0.25">
      <c r="A23" s="2" t="s">
        <v>68</v>
      </c>
      <c r="B23" s="3" t="s">
        <v>46</v>
      </c>
      <c r="C23" s="3" t="s">
        <v>69</v>
      </c>
      <c r="D23" s="94" t="s">
        <v>70</v>
      </c>
      <c r="E23" s="94"/>
      <c r="F23" s="3" t="s">
        <v>71</v>
      </c>
      <c r="G23" s="25">
        <v>0.19800000000000001</v>
      </c>
      <c r="H23" s="45">
        <v>0</v>
      </c>
    </row>
    <row r="24" spans="1:8" x14ac:dyDescent="0.25">
      <c r="A24" s="54"/>
      <c r="D24" s="55" t="s">
        <v>2598</v>
      </c>
      <c r="E24" s="171" t="s">
        <v>46</v>
      </c>
      <c r="F24" s="171"/>
      <c r="G24" s="56">
        <v>0.192</v>
      </c>
      <c r="H24" s="57"/>
    </row>
    <row r="25" spans="1:8" x14ac:dyDescent="0.25">
      <c r="A25" s="2" t="s">
        <v>46</v>
      </c>
      <c r="B25" s="3" t="s">
        <v>46</v>
      </c>
      <c r="C25" s="3" t="s">
        <v>46</v>
      </c>
      <c r="D25" s="55" t="s">
        <v>2599</v>
      </c>
      <c r="E25" s="171" t="s">
        <v>46</v>
      </c>
      <c r="F25" s="171"/>
      <c r="G25" s="56">
        <v>6.0000000000000001E-3</v>
      </c>
      <c r="H25" s="26" t="s">
        <v>46</v>
      </c>
    </row>
    <row r="26" spans="1:8" x14ac:dyDescent="0.25">
      <c r="A26" s="2" t="s">
        <v>72</v>
      </c>
      <c r="B26" s="3" t="s">
        <v>46</v>
      </c>
      <c r="C26" s="3" t="s">
        <v>73</v>
      </c>
      <c r="D26" s="94" t="s">
        <v>74</v>
      </c>
      <c r="E26" s="94"/>
      <c r="F26" s="3" t="s">
        <v>71</v>
      </c>
      <c r="G26" s="25">
        <v>6.0000000000000001E-3</v>
      </c>
      <c r="H26" s="45">
        <v>0</v>
      </c>
    </row>
    <row r="27" spans="1:8" x14ac:dyDescent="0.25">
      <c r="A27" s="54"/>
      <c r="D27" s="55" t="s">
        <v>2599</v>
      </c>
      <c r="E27" s="171" t="s">
        <v>46</v>
      </c>
      <c r="F27" s="171"/>
      <c r="G27" s="56">
        <v>6.0000000000000001E-3</v>
      </c>
      <c r="H27" s="57"/>
    </row>
    <row r="28" spans="1:8" x14ac:dyDescent="0.25">
      <c r="A28" s="2" t="s">
        <v>46</v>
      </c>
      <c r="B28" s="3" t="s">
        <v>46</v>
      </c>
      <c r="C28" s="3" t="s">
        <v>46</v>
      </c>
      <c r="D28" s="55" t="s">
        <v>2600</v>
      </c>
      <c r="E28" s="171" t="s">
        <v>46</v>
      </c>
      <c r="F28" s="171"/>
      <c r="G28" s="56">
        <v>0</v>
      </c>
      <c r="H28" s="26" t="s">
        <v>46</v>
      </c>
    </row>
    <row r="29" spans="1:8" x14ac:dyDescent="0.25">
      <c r="A29" s="2" t="s">
        <v>76</v>
      </c>
      <c r="B29" s="3" t="s">
        <v>46</v>
      </c>
      <c r="C29" s="3" t="s">
        <v>77</v>
      </c>
      <c r="D29" s="94" t="s">
        <v>78</v>
      </c>
      <c r="E29" s="94"/>
      <c r="F29" s="3" t="s">
        <v>71</v>
      </c>
      <c r="G29" s="25">
        <v>0.20200000000000001</v>
      </c>
      <c r="H29" s="45">
        <v>0</v>
      </c>
    </row>
    <row r="30" spans="1:8" x14ac:dyDescent="0.25">
      <c r="A30" s="54"/>
      <c r="D30" s="55" t="s">
        <v>2598</v>
      </c>
      <c r="E30" s="171" t="s">
        <v>46</v>
      </c>
      <c r="F30" s="171"/>
      <c r="G30" s="56">
        <v>0.192</v>
      </c>
      <c r="H30" s="57"/>
    </row>
    <row r="31" spans="1:8" x14ac:dyDescent="0.25">
      <c r="A31" s="2" t="s">
        <v>46</v>
      </c>
      <c r="B31" s="3" t="s">
        <v>46</v>
      </c>
      <c r="C31" s="3" t="s">
        <v>46</v>
      </c>
      <c r="D31" s="55" t="s">
        <v>2601</v>
      </c>
      <c r="E31" s="171" t="s">
        <v>46</v>
      </c>
      <c r="F31" s="171"/>
      <c r="G31" s="56">
        <v>0.01</v>
      </c>
      <c r="H31" s="26" t="s">
        <v>46</v>
      </c>
    </row>
    <row r="32" spans="1:8" x14ac:dyDescent="0.25">
      <c r="A32" s="2" t="s">
        <v>79</v>
      </c>
      <c r="B32" s="3" t="s">
        <v>46</v>
      </c>
      <c r="C32" s="3" t="s">
        <v>80</v>
      </c>
      <c r="D32" s="94" t="s">
        <v>81</v>
      </c>
      <c r="E32" s="94"/>
      <c r="F32" s="3" t="s">
        <v>71</v>
      </c>
      <c r="G32" s="25">
        <v>0.252</v>
      </c>
      <c r="H32" s="45">
        <v>0</v>
      </c>
    </row>
    <row r="33" spans="1:8" x14ac:dyDescent="0.25">
      <c r="A33" s="54"/>
      <c r="D33" s="55" t="s">
        <v>2602</v>
      </c>
      <c r="E33" s="171" t="s">
        <v>46</v>
      </c>
      <c r="F33" s="171"/>
      <c r="G33" s="56">
        <v>0.10299999999999999</v>
      </c>
      <c r="H33" s="57"/>
    </row>
    <row r="34" spans="1:8" x14ac:dyDescent="0.25">
      <c r="A34" s="2" t="s">
        <v>46</v>
      </c>
      <c r="B34" s="3" t="s">
        <v>46</v>
      </c>
      <c r="C34" s="3" t="s">
        <v>46</v>
      </c>
      <c r="D34" s="55" t="s">
        <v>2603</v>
      </c>
      <c r="E34" s="171" t="s">
        <v>46</v>
      </c>
      <c r="F34" s="171"/>
      <c r="G34" s="56">
        <v>0.14899999999999999</v>
      </c>
      <c r="H34" s="26" t="s">
        <v>46</v>
      </c>
    </row>
    <row r="35" spans="1:8" x14ac:dyDescent="0.25">
      <c r="A35" s="2" t="s">
        <v>82</v>
      </c>
      <c r="B35" s="3" t="s">
        <v>46</v>
      </c>
      <c r="C35" s="3" t="s">
        <v>83</v>
      </c>
      <c r="D35" s="94" t="s">
        <v>84</v>
      </c>
      <c r="E35" s="94"/>
      <c r="F35" s="3" t="s">
        <v>71</v>
      </c>
      <c r="G35" s="25">
        <v>0.108</v>
      </c>
      <c r="H35" s="45">
        <v>0</v>
      </c>
    </row>
    <row r="36" spans="1:8" x14ac:dyDescent="0.25">
      <c r="A36" s="54"/>
      <c r="D36" s="55" t="s">
        <v>2602</v>
      </c>
      <c r="E36" s="171" t="s">
        <v>46</v>
      </c>
      <c r="F36" s="171"/>
      <c r="G36" s="56">
        <v>0.10299999999999999</v>
      </c>
      <c r="H36" s="57"/>
    </row>
    <row r="37" spans="1:8" x14ac:dyDescent="0.25">
      <c r="A37" s="2" t="s">
        <v>46</v>
      </c>
      <c r="B37" s="3" t="s">
        <v>46</v>
      </c>
      <c r="C37" s="3" t="s">
        <v>46</v>
      </c>
      <c r="D37" s="55" t="s">
        <v>2604</v>
      </c>
      <c r="E37" s="171" t="s">
        <v>46</v>
      </c>
      <c r="F37" s="171"/>
      <c r="G37" s="56">
        <v>5.0000000000000001E-3</v>
      </c>
      <c r="H37" s="26" t="s">
        <v>46</v>
      </c>
    </row>
    <row r="38" spans="1:8" x14ac:dyDescent="0.25">
      <c r="A38" s="2" t="s">
        <v>85</v>
      </c>
      <c r="B38" s="3" t="s">
        <v>46</v>
      </c>
      <c r="C38" s="3" t="s">
        <v>86</v>
      </c>
      <c r="D38" s="94" t="s">
        <v>87</v>
      </c>
      <c r="E38" s="94"/>
      <c r="F38" s="3" t="s">
        <v>71</v>
      </c>
      <c r="G38" s="25">
        <v>0.156</v>
      </c>
      <c r="H38" s="45">
        <v>0</v>
      </c>
    </row>
    <row r="39" spans="1:8" x14ac:dyDescent="0.25">
      <c r="A39" s="54"/>
      <c r="D39" s="55" t="s">
        <v>2603</v>
      </c>
      <c r="E39" s="171" t="s">
        <v>46</v>
      </c>
      <c r="F39" s="171"/>
      <c r="G39" s="56">
        <v>0.14899999999999999</v>
      </c>
      <c r="H39" s="57"/>
    </row>
    <row r="40" spans="1:8" x14ac:dyDescent="0.25">
      <c r="A40" s="2" t="s">
        <v>46</v>
      </c>
      <c r="B40" s="3" t="s">
        <v>46</v>
      </c>
      <c r="C40" s="3" t="s">
        <v>46</v>
      </c>
      <c r="D40" s="55" t="s">
        <v>2605</v>
      </c>
      <c r="E40" s="171" t="s">
        <v>46</v>
      </c>
      <c r="F40" s="171"/>
      <c r="G40" s="56">
        <v>7.0000000000000001E-3</v>
      </c>
      <c r="H40" s="26" t="s">
        <v>46</v>
      </c>
    </row>
    <row r="41" spans="1:8" x14ac:dyDescent="0.25">
      <c r="A41" s="58" t="s">
        <v>46</v>
      </c>
      <c r="B41" s="29" t="s">
        <v>46</v>
      </c>
      <c r="C41" s="29" t="s">
        <v>88</v>
      </c>
      <c r="D41" s="151" t="s">
        <v>89</v>
      </c>
      <c r="E41" s="151"/>
      <c r="F41" s="29" t="s">
        <v>46</v>
      </c>
      <c r="G41" s="11" t="s">
        <v>46</v>
      </c>
      <c r="H41" s="31" t="s">
        <v>46</v>
      </c>
    </row>
    <row r="42" spans="1:8" x14ac:dyDescent="0.25">
      <c r="A42" s="2" t="s">
        <v>90</v>
      </c>
      <c r="B42" s="3" t="s">
        <v>46</v>
      </c>
      <c r="C42" s="3" t="s">
        <v>91</v>
      </c>
      <c r="D42" s="94" t="s">
        <v>92</v>
      </c>
      <c r="E42" s="94"/>
      <c r="F42" s="3" t="s">
        <v>93</v>
      </c>
      <c r="G42" s="25">
        <v>72.832999999999998</v>
      </c>
      <c r="H42" s="45">
        <v>0</v>
      </c>
    </row>
    <row r="43" spans="1:8" x14ac:dyDescent="0.25">
      <c r="A43" s="54"/>
      <c r="D43" s="55" t="s">
        <v>2606</v>
      </c>
      <c r="E43" s="171" t="s">
        <v>46</v>
      </c>
      <c r="F43" s="171"/>
      <c r="G43" s="56">
        <v>50.323999999999998</v>
      </c>
      <c r="H43" s="57"/>
    </row>
    <row r="44" spans="1:8" x14ac:dyDescent="0.25">
      <c r="A44" s="2" t="s">
        <v>46</v>
      </c>
      <c r="B44" s="3" t="s">
        <v>46</v>
      </c>
      <c r="C44" s="3" t="s">
        <v>46</v>
      </c>
      <c r="D44" s="55" t="s">
        <v>2607</v>
      </c>
      <c r="E44" s="171" t="s">
        <v>46</v>
      </c>
      <c r="F44" s="171"/>
      <c r="G44" s="56">
        <v>6.85</v>
      </c>
      <c r="H44" s="26" t="s">
        <v>46</v>
      </c>
    </row>
    <row r="45" spans="1:8" x14ac:dyDescent="0.25">
      <c r="A45" s="2" t="s">
        <v>46</v>
      </c>
      <c r="B45" s="3" t="s">
        <v>46</v>
      </c>
      <c r="C45" s="3" t="s">
        <v>46</v>
      </c>
      <c r="D45" s="55" t="s">
        <v>2608</v>
      </c>
      <c r="E45" s="171" t="s">
        <v>46</v>
      </c>
      <c r="F45" s="171"/>
      <c r="G45" s="56">
        <v>15.659000000000001</v>
      </c>
      <c r="H45" s="26" t="s">
        <v>46</v>
      </c>
    </row>
    <row r="46" spans="1:8" x14ac:dyDescent="0.25">
      <c r="A46" s="2" t="s">
        <v>95</v>
      </c>
      <c r="B46" s="3" t="s">
        <v>46</v>
      </c>
      <c r="C46" s="3" t="s">
        <v>96</v>
      </c>
      <c r="D46" s="94" t="s">
        <v>97</v>
      </c>
      <c r="E46" s="94"/>
      <c r="F46" s="3" t="s">
        <v>93</v>
      </c>
      <c r="G46" s="25">
        <v>6.4809999999999999</v>
      </c>
      <c r="H46" s="45">
        <v>0</v>
      </c>
    </row>
    <row r="47" spans="1:8" x14ac:dyDescent="0.25">
      <c r="A47" s="54"/>
      <c r="D47" s="55" t="s">
        <v>2609</v>
      </c>
      <c r="E47" s="171" t="s">
        <v>46</v>
      </c>
      <c r="F47" s="171"/>
      <c r="G47" s="56">
        <v>6.4809999999999999</v>
      </c>
      <c r="H47" s="57"/>
    </row>
    <row r="48" spans="1:8" x14ac:dyDescent="0.25">
      <c r="A48" s="2" t="s">
        <v>98</v>
      </c>
      <c r="B48" s="3" t="s">
        <v>46</v>
      </c>
      <c r="C48" s="3" t="s">
        <v>99</v>
      </c>
      <c r="D48" s="94" t="s">
        <v>100</v>
      </c>
      <c r="E48" s="94"/>
      <c r="F48" s="3" t="s">
        <v>93</v>
      </c>
      <c r="G48" s="25">
        <v>10.117000000000001</v>
      </c>
      <c r="H48" s="45">
        <v>0</v>
      </c>
    </row>
    <row r="49" spans="1:8" x14ac:dyDescent="0.25">
      <c r="A49" s="54"/>
      <c r="D49" s="55" t="s">
        <v>2610</v>
      </c>
      <c r="E49" s="171" t="s">
        <v>46</v>
      </c>
      <c r="F49" s="171"/>
      <c r="G49" s="56">
        <v>10.117000000000001</v>
      </c>
      <c r="H49" s="57"/>
    </row>
    <row r="50" spans="1:8" x14ac:dyDescent="0.25">
      <c r="A50" s="2" t="s">
        <v>101</v>
      </c>
      <c r="B50" s="3" t="s">
        <v>46</v>
      </c>
      <c r="C50" s="3" t="s">
        <v>102</v>
      </c>
      <c r="D50" s="94" t="s">
        <v>103</v>
      </c>
      <c r="E50" s="94"/>
      <c r="F50" s="3" t="s">
        <v>93</v>
      </c>
      <c r="G50" s="25">
        <v>1.4390000000000001</v>
      </c>
      <c r="H50" s="45">
        <v>0</v>
      </c>
    </row>
    <row r="51" spans="1:8" x14ac:dyDescent="0.25">
      <c r="A51" s="54"/>
      <c r="D51" s="55" t="s">
        <v>2611</v>
      </c>
      <c r="E51" s="171" t="s">
        <v>46</v>
      </c>
      <c r="F51" s="171"/>
      <c r="G51" s="56">
        <v>1.4390000000000001</v>
      </c>
      <c r="H51" s="57"/>
    </row>
    <row r="52" spans="1:8" x14ac:dyDescent="0.25">
      <c r="A52" s="2" t="s">
        <v>104</v>
      </c>
      <c r="B52" s="3" t="s">
        <v>46</v>
      </c>
      <c r="C52" s="3" t="s">
        <v>105</v>
      </c>
      <c r="D52" s="94" t="s">
        <v>106</v>
      </c>
      <c r="E52" s="94"/>
      <c r="F52" s="3" t="s">
        <v>93</v>
      </c>
      <c r="G52" s="25">
        <v>33.933999999999997</v>
      </c>
      <c r="H52" s="45">
        <v>0</v>
      </c>
    </row>
    <row r="53" spans="1:8" x14ac:dyDescent="0.25">
      <c r="A53" s="54"/>
      <c r="D53" s="55" t="s">
        <v>2612</v>
      </c>
      <c r="E53" s="171" t="s">
        <v>46</v>
      </c>
      <c r="F53" s="171"/>
      <c r="G53" s="56">
        <v>12.704000000000001</v>
      </c>
      <c r="H53" s="57"/>
    </row>
    <row r="54" spans="1:8" x14ac:dyDescent="0.25">
      <c r="A54" s="2" t="s">
        <v>46</v>
      </c>
      <c r="B54" s="3" t="s">
        <v>46</v>
      </c>
      <c r="C54" s="3" t="s">
        <v>46</v>
      </c>
      <c r="D54" s="55" t="s">
        <v>2613</v>
      </c>
      <c r="E54" s="171" t="s">
        <v>46</v>
      </c>
      <c r="F54" s="171"/>
      <c r="G54" s="56">
        <v>21.23</v>
      </c>
      <c r="H54" s="26" t="s">
        <v>46</v>
      </c>
    </row>
    <row r="55" spans="1:8" x14ac:dyDescent="0.25">
      <c r="A55" s="2" t="s">
        <v>107</v>
      </c>
      <c r="B55" s="3" t="s">
        <v>46</v>
      </c>
      <c r="C55" s="3" t="s">
        <v>108</v>
      </c>
      <c r="D55" s="94" t="s">
        <v>109</v>
      </c>
      <c r="E55" s="94"/>
      <c r="F55" s="3" t="s">
        <v>93</v>
      </c>
      <c r="G55" s="25">
        <v>85.915999999999997</v>
      </c>
      <c r="H55" s="45">
        <v>0</v>
      </c>
    </row>
    <row r="56" spans="1:8" x14ac:dyDescent="0.25">
      <c r="A56" s="54"/>
      <c r="D56" s="55" t="s">
        <v>2614</v>
      </c>
      <c r="E56" s="171" t="s">
        <v>46</v>
      </c>
      <c r="F56" s="171"/>
      <c r="G56" s="56">
        <v>84.635000000000005</v>
      </c>
      <c r="H56" s="57"/>
    </row>
    <row r="57" spans="1:8" x14ac:dyDescent="0.25">
      <c r="A57" s="2" t="s">
        <v>46</v>
      </c>
      <c r="B57" s="3" t="s">
        <v>46</v>
      </c>
      <c r="C57" s="3" t="s">
        <v>46</v>
      </c>
      <c r="D57" s="55" t="s">
        <v>2615</v>
      </c>
      <c r="E57" s="171" t="s">
        <v>46</v>
      </c>
      <c r="F57" s="171"/>
      <c r="G57" s="56">
        <v>1.2809999999999999</v>
      </c>
      <c r="H57" s="26" t="s">
        <v>46</v>
      </c>
    </row>
    <row r="58" spans="1:8" x14ac:dyDescent="0.25">
      <c r="A58" s="2" t="s">
        <v>110</v>
      </c>
      <c r="B58" s="3" t="s">
        <v>46</v>
      </c>
      <c r="C58" s="3" t="s">
        <v>111</v>
      </c>
      <c r="D58" s="94" t="s">
        <v>112</v>
      </c>
      <c r="E58" s="94"/>
      <c r="F58" s="3" t="s">
        <v>93</v>
      </c>
      <c r="G58" s="25">
        <v>39.847999999999999</v>
      </c>
      <c r="H58" s="45">
        <v>0</v>
      </c>
    </row>
    <row r="59" spans="1:8" x14ac:dyDescent="0.25">
      <c r="A59" s="54"/>
      <c r="D59" s="55" t="s">
        <v>2616</v>
      </c>
      <c r="E59" s="171" t="s">
        <v>46</v>
      </c>
      <c r="F59" s="171"/>
      <c r="G59" s="56">
        <v>39.847999999999999</v>
      </c>
      <c r="H59" s="57"/>
    </row>
    <row r="60" spans="1:8" x14ac:dyDescent="0.25">
      <c r="A60" s="2" t="s">
        <v>113</v>
      </c>
      <c r="B60" s="3" t="s">
        <v>46</v>
      </c>
      <c r="C60" s="3" t="s">
        <v>114</v>
      </c>
      <c r="D60" s="94" t="s">
        <v>115</v>
      </c>
      <c r="E60" s="94"/>
      <c r="F60" s="3" t="s">
        <v>93</v>
      </c>
      <c r="G60" s="25">
        <v>8.1229999999999993</v>
      </c>
      <c r="H60" s="45">
        <v>0</v>
      </c>
    </row>
    <row r="61" spans="1:8" x14ac:dyDescent="0.25">
      <c r="A61" s="54"/>
      <c r="D61" s="55" t="s">
        <v>2617</v>
      </c>
      <c r="E61" s="171" t="s">
        <v>46</v>
      </c>
      <c r="F61" s="171"/>
      <c r="G61" s="56">
        <v>8.1229999999999993</v>
      </c>
      <c r="H61" s="57"/>
    </row>
    <row r="62" spans="1:8" x14ac:dyDescent="0.25">
      <c r="A62" s="2" t="s">
        <v>116</v>
      </c>
      <c r="B62" s="3" t="s">
        <v>46</v>
      </c>
      <c r="C62" s="3" t="s">
        <v>117</v>
      </c>
      <c r="D62" s="94" t="s">
        <v>118</v>
      </c>
      <c r="E62" s="94"/>
      <c r="F62" s="3" t="s">
        <v>93</v>
      </c>
      <c r="G62" s="25">
        <v>4.9240000000000004</v>
      </c>
      <c r="H62" s="45">
        <v>0</v>
      </c>
    </row>
    <row r="63" spans="1:8" x14ac:dyDescent="0.25">
      <c r="A63" s="54"/>
      <c r="D63" s="55" t="s">
        <v>2618</v>
      </c>
      <c r="E63" s="171" t="s">
        <v>46</v>
      </c>
      <c r="F63" s="171"/>
      <c r="G63" s="56">
        <v>4.9240000000000004</v>
      </c>
      <c r="H63" s="57"/>
    </row>
    <row r="64" spans="1:8" x14ac:dyDescent="0.25">
      <c r="A64" s="2" t="s">
        <v>119</v>
      </c>
      <c r="B64" s="3" t="s">
        <v>46</v>
      </c>
      <c r="C64" s="3" t="s">
        <v>120</v>
      </c>
      <c r="D64" s="94" t="s">
        <v>121</v>
      </c>
      <c r="E64" s="94"/>
      <c r="F64" s="3" t="s">
        <v>52</v>
      </c>
      <c r="G64" s="25">
        <v>6</v>
      </c>
      <c r="H64" s="45">
        <v>0</v>
      </c>
    </row>
    <row r="65" spans="1:8" x14ac:dyDescent="0.25">
      <c r="A65" s="54"/>
      <c r="D65" s="55" t="s">
        <v>2619</v>
      </c>
      <c r="E65" s="171" t="s">
        <v>46</v>
      </c>
      <c r="F65" s="171"/>
      <c r="G65" s="56">
        <v>6</v>
      </c>
      <c r="H65" s="57"/>
    </row>
    <row r="66" spans="1:8" x14ac:dyDescent="0.25">
      <c r="A66" s="2" t="s">
        <v>122</v>
      </c>
      <c r="B66" s="3" t="s">
        <v>46</v>
      </c>
      <c r="C66" s="3" t="s">
        <v>123</v>
      </c>
      <c r="D66" s="94" t="s">
        <v>124</v>
      </c>
      <c r="E66" s="94"/>
      <c r="F66" s="3" t="s">
        <v>52</v>
      </c>
      <c r="G66" s="25">
        <v>4</v>
      </c>
      <c r="H66" s="45">
        <v>0</v>
      </c>
    </row>
    <row r="67" spans="1:8" x14ac:dyDescent="0.25">
      <c r="A67" s="54"/>
      <c r="D67" s="55" t="s">
        <v>65</v>
      </c>
      <c r="E67" s="171" t="s">
        <v>46</v>
      </c>
      <c r="F67" s="171"/>
      <c r="G67" s="56">
        <v>4</v>
      </c>
      <c r="H67" s="57"/>
    </row>
    <row r="68" spans="1:8" x14ac:dyDescent="0.25">
      <c r="A68" s="2" t="s">
        <v>125</v>
      </c>
      <c r="B68" s="3" t="s">
        <v>46</v>
      </c>
      <c r="C68" s="3" t="s">
        <v>126</v>
      </c>
      <c r="D68" s="94" t="s">
        <v>127</v>
      </c>
      <c r="E68" s="94"/>
      <c r="F68" s="3" t="s">
        <v>52</v>
      </c>
      <c r="G68" s="25">
        <v>1</v>
      </c>
      <c r="H68" s="45">
        <v>0</v>
      </c>
    </row>
    <row r="69" spans="1:8" x14ac:dyDescent="0.25">
      <c r="A69" s="54"/>
      <c r="D69" s="55" t="s">
        <v>49</v>
      </c>
      <c r="E69" s="171" t="s">
        <v>46</v>
      </c>
      <c r="F69" s="171"/>
      <c r="G69" s="56">
        <v>1</v>
      </c>
      <c r="H69" s="57"/>
    </row>
    <row r="70" spans="1:8" x14ac:dyDescent="0.25">
      <c r="A70" s="2" t="s">
        <v>128</v>
      </c>
      <c r="B70" s="3" t="s">
        <v>46</v>
      </c>
      <c r="C70" s="3" t="s">
        <v>129</v>
      </c>
      <c r="D70" s="94" t="s">
        <v>130</v>
      </c>
      <c r="E70" s="94"/>
      <c r="F70" s="3" t="s">
        <v>131</v>
      </c>
      <c r="G70" s="25">
        <v>152.53</v>
      </c>
      <c r="H70" s="45">
        <v>0</v>
      </c>
    </row>
    <row r="71" spans="1:8" x14ac:dyDescent="0.25">
      <c r="A71" s="54"/>
      <c r="D71" s="55" t="s">
        <v>2620</v>
      </c>
      <c r="E71" s="171" t="s">
        <v>46</v>
      </c>
      <c r="F71" s="171"/>
      <c r="G71" s="56">
        <v>152.53</v>
      </c>
      <c r="H71" s="57"/>
    </row>
    <row r="72" spans="1:8" x14ac:dyDescent="0.25">
      <c r="A72" s="2" t="s">
        <v>132</v>
      </c>
      <c r="B72" s="3" t="s">
        <v>46</v>
      </c>
      <c r="C72" s="3" t="s">
        <v>133</v>
      </c>
      <c r="D72" s="94" t="s">
        <v>134</v>
      </c>
      <c r="E72" s="94"/>
      <c r="F72" s="3" t="s">
        <v>93</v>
      </c>
      <c r="G72" s="25">
        <v>345.06</v>
      </c>
      <c r="H72" s="45">
        <v>0</v>
      </c>
    </row>
    <row r="73" spans="1:8" x14ac:dyDescent="0.25">
      <c r="A73" s="54"/>
      <c r="D73" s="55" t="s">
        <v>2621</v>
      </c>
      <c r="E73" s="171" t="s">
        <v>46</v>
      </c>
      <c r="F73" s="171"/>
      <c r="G73" s="56">
        <v>338.21</v>
      </c>
      <c r="H73" s="57"/>
    </row>
    <row r="74" spans="1:8" x14ac:dyDescent="0.25">
      <c r="A74" s="2" t="s">
        <v>46</v>
      </c>
      <c r="B74" s="3" t="s">
        <v>46</v>
      </c>
      <c r="C74" s="3" t="s">
        <v>46</v>
      </c>
      <c r="D74" s="55" t="s">
        <v>2607</v>
      </c>
      <c r="E74" s="171" t="s">
        <v>46</v>
      </c>
      <c r="F74" s="171"/>
      <c r="G74" s="56">
        <v>6.85</v>
      </c>
      <c r="H74" s="26" t="s">
        <v>46</v>
      </c>
    </row>
    <row r="75" spans="1:8" x14ac:dyDescent="0.25">
      <c r="A75" s="2" t="s">
        <v>135</v>
      </c>
      <c r="B75" s="3" t="s">
        <v>46</v>
      </c>
      <c r="C75" s="3" t="s">
        <v>136</v>
      </c>
      <c r="D75" s="94" t="s">
        <v>137</v>
      </c>
      <c r="E75" s="94"/>
      <c r="F75" s="3" t="s">
        <v>93</v>
      </c>
      <c r="G75" s="25">
        <v>298.29300000000001</v>
      </c>
      <c r="H75" s="45">
        <v>0</v>
      </c>
    </row>
    <row r="76" spans="1:8" x14ac:dyDescent="0.25">
      <c r="A76" s="54"/>
      <c r="D76" s="55" t="s">
        <v>2622</v>
      </c>
      <c r="E76" s="171" t="s">
        <v>46</v>
      </c>
      <c r="F76" s="171"/>
      <c r="G76" s="56">
        <v>261.238</v>
      </c>
      <c r="H76" s="57"/>
    </row>
    <row r="77" spans="1:8" x14ac:dyDescent="0.25">
      <c r="A77" s="2" t="s">
        <v>46</v>
      </c>
      <c r="B77" s="3" t="s">
        <v>46</v>
      </c>
      <c r="C77" s="3" t="s">
        <v>46</v>
      </c>
      <c r="D77" s="55" t="s">
        <v>2623</v>
      </c>
      <c r="E77" s="171" t="s">
        <v>46</v>
      </c>
      <c r="F77" s="171"/>
      <c r="G77" s="56">
        <v>16.341999999999999</v>
      </c>
      <c r="H77" s="26" t="s">
        <v>46</v>
      </c>
    </row>
    <row r="78" spans="1:8" x14ac:dyDescent="0.25">
      <c r="A78" s="2" t="s">
        <v>46</v>
      </c>
      <c r="B78" s="3" t="s">
        <v>46</v>
      </c>
      <c r="C78" s="3" t="s">
        <v>46</v>
      </c>
      <c r="D78" s="55" t="s">
        <v>2607</v>
      </c>
      <c r="E78" s="171" t="s">
        <v>46</v>
      </c>
      <c r="F78" s="171"/>
      <c r="G78" s="56">
        <v>6.85</v>
      </c>
      <c r="H78" s="26" t="s">
        <v>46</v>
      </c>
    </row>
    <row r="79" spans="1:8" x14ac:dyDescent="0.25">
      <c r="A79" s="2" t="s">
        <v>46</v>
      </c>
      <c r="B79" s="3" t="s">
        <v>46</v>
      </c>
      <c r="C79" s="3" t="s">
        <v>46</v>
      </c>
      <c r="D79" s="55" t="s">
        <v>2624</v>
      </c>
      <c r="E79" s="171" t="s">
        <v>46</v>
      </c>
      <c r="F79" s="171"/>
      <c r="G79" s="56">
        <v>13.863</v>
      </c>
      <c r="H79" s="26" t="s">
        <v>46</v>
      </c>
    </row>
    <row r="80" spans="1:8" x14ac:dyDescent="0.25">
      <c r="A80" s="2" t="s">
        <v>138</v>
      </c>
      <c r="B80" s="3" t="s">
        <v>46</v>
      </c>
      <c r="C80" s="3" t="s">
        <v>139</v>
      </c>
      <c r="D80" s="94" t="s">
        <v>140</v>
      </c>
      <c r="E80" s="94"/>
      <c r="F80" s="3" t="s">
        <v>93</v>
      </c>
      <c r="G80" s="25">
        <v>1.8149999999999999</v>
      </c>
      <c r="H80" s="45">
        <v>0</v>
      </c>
    </row>
    <row r="81" spans="1:8" x14ac:dyDescent="0.25">
      <c r="A81" s="54"/>
      <c r="D81" s="55" t="s">
        <v>2625</v>
      </c>
      <c r="E81" s="171" t="s">
        <v>46</v>
      </c>
      <c r="F81" s="171"/>
      <c r="G81" s="56">
        <v>1.8149999999999999</v>
      </c>
      <c r="H81" s="57"/>
    </row>
    <row r="82" spans="1:8" x14ac:dyDescent="0.25">
      <c r="A82" s="2" t="s">
        <v>141</v>
      </c>
      <c r="B82" s="3" t="s">
        <v>46</v>
      </c>
      <c r="C82" s="3" t="s">
        <v>142</v>
      </c>
      <c r="D82" s="94" t="s">
        <v>143</v>
      </c>
      <c r="E82" s="94"/>
      <c r="F82" s="3" t="s">
        <v>52</v>
      </c>
      <c r="G82" s="25">
        <v>24</v>
      </c>
      <c r="H82" s="45">
        <v>0</v>
      </c>
    </row>
    <row r="83" spans="1:8" x14ac:dyDescent="0.25">
      <c r="A83" s="54"/>
      <c r="D83" s="55" t="s">
        <v>2626</v>
      </c>
      <c r="E83" s="171" t="s">
        <v>46</v>
      </c>
      <c r="F83" s="171"/>
      <c r="G83" s="56">
        <v>24</v>
      </c>
      <c r="H83" s="57"/>
    </row>
    <row r="84" spans="1:8" x14ac:dyDescent="0.25">
      <c r="A84" s="2" t="s">
        <v>144</v>
      </c>
      <c r="B84" s="3" t="s">
        <v>46</v>
      </c>
      <c r="C84" s="3" t="s">
        <v>145</v>
      </c>
      <c r="D84" s="94" t="s">
        <v>146</v>
      </c>
      <c r="E84" s="94"/>
      <c r="F84" s="3" t="s">
        <v>52</v>
      </c>
      <c r="G84" s="25">
        <v>5</v>
      </c>
      <c r="H84" s="45">
        <v>0</v>
      </c>
    </row>
    <row r="85" spans="1:8" x14ac:dyDescent="0.25">
      <c r="A85" s="54"/>
      <c r="D85" s="55" t="s">
        <v>2627</v>
      </c>
      <c r="E85" s="171" t="s">
        <v>46</v>
      </c>
      <c r="F85" s="171"/>
      <c r="G85" s="56">
        <v>5</v>
      </c>
      <c r="H85" s="57"/>
    </row>
    <row r="86" spans="1:8" x14ac:dyDescent="0.25">
      <c r="A86" s="2" t="s">
        <v>147</v>
      </c>
      <c r="B86" s="3" t="s">
        <v>46</v>
      </c>
      <c r="C86" s="3" t="s">
        <v>148</v>
      </c>
      <c r="D86" s="94" t="s">
        <v>149</v>
      </c>
      <c r="E86" s="94"/>
      <c r="F86" s="3" t="s">
        <v>52</v>
      </c>
      <c r="G86" s="25">
        <v>36</v>
      </c>
      <c r="H86" s="45">
        <v>0</v>
      </c>
    </row>
    <row r="87" spans="1:8" x14ac:dyDescent="0.25">
      <c r="A87" s="54"/>
      <c r="D87" s="55" t="s">
        <v>2628</v>
      </c>
      <c r="E87" s="171" t="s">
        <v>46</v>
      </c>
      <c r="F87" s="171"/>
      <c r="G87" s="56">
        <v>36</v>
      </c>
      <c r="H87" s="57"/>
    </row>
    <row r="88" spans="1:8" x14ac:dyDescent="0.25">
      <c r="A88" s="2" t="s">
        <v>150</v>
      </c>
      <c r="B88" s="3" t="s">
        <v>46</v>
      </c>
      <c r="C88" s="3" t="s">
        <v>151</v>
      </c>
      <c r="D88" s="94" t="s">
        <v>152</v>
      </c>
      <c r="E88" s="94"/>
      <c r="F88" s="3" t="s">
        <v>52</v>
      </c>
      <c r="G88" s="25">
        <v>25</v>
      </c>
      <c r="H88" s="45">
        <v>0</v>
      </c>
    </row>
    <row r="89" spans="1:8" x14ac:dyDescent="0.25">
      <c r="A89" s="54"/>
      <c r="D89" s="55" t="s">
        <v>2629</v>
      </c>
      <c r="E89" s="171" t="s">
        <v>46</v>
      </c>
      <c r="F89" s="171"/>
      <c r="G89" s="56">
        <v>25</v>
      </c>
      <c r="H89" s="57"/>
    </row>
    <row r="90" spans="1:8" x14ac:dyDescent="0.25">
      <c r="A90" s="2" t="s">
        <v>47</v>
      </c>
      <c r="B90" s="3" t="s">
        <v>46</v>
      </c>
      <c r="C90" s="3" t="s">
        <v>153</v>
      </c>
      <c r="D90" s="94" t="s">
        <v>154</v>
      </c>
      <c r="E90" s="94"/>
      <c r="F90" s="3" t="s">
        <v>52</v>
      </c>
      <c r="G90" s="25">
        <v>10</v>
      </c>
      <c r="H90" s="45">
        <v>0</v>
      </c>
    </row>
    <row r="91" spans="1:8" x14ac:dyDescent="0.25">
      <c r="A91" s="54"/>
      <c r="D91" s="55" t="s">
        <v>85</v>
      </c>
      <c r="E91" s="171" t="s">
        <v>46</v>
      </c>
      <c r="F91" s="171"/>
      <c r="G91" s="56">
        <v>10</v>
      </c>
      <c r="H91" s="57"/>
    </row>
    <row r="92" spans="1:8" x14ac:dyDescent="0.25">
      <c r="A92" s="2" t="s">
        <v>155</v>
      </c>
      <c r="B92" s="3" t="s">
        <v>46</v>
      </c>
      <c r="C92" s="3" t="s">
        <v>156</v>
      </c>
      <c r="D92" s="94" t="s">
        <v>157</v>
      </c>
      <c r="E92" s="94"/>
      <c r="F92" s="3" t="s">
        <v>93</v>
      </c>
      <c r="G92" s="25">
        <v>6.8540000000000001</v>
      </c>
      <c r="H92" s="45">
        <v>0</v>
      </c>
    </row>
    <row r="93" spans="1:8" x14ac:dyDescent="0.25">
      <c r="A93" s="54"/>
      <c r="D93" s="55" t="s">
        <v>2630</v>
      </c>
      <c r="E93" s="171" t="s">
        <v>46</v>
      </c>
      <c r="F93" s="171"/>
      <c r="G93" s="56">
        <v>6.8540000000000001</v>
      </c>
      <c r="H93" s="57"/>
    </row>
    <row r="94" spans="1:8" x14ac:dyDescent="0.25">
      <c r="A94" s="2" t="s">
        <v>158</v>
      </c>
      <c r="B94" s="3" t="s">
        <v>46</v>
      </c>
      <c r="C94" s="3" t="s">
        <v>159</v>
      </c>
      <c r="D94" s="94" t="s">
        <v>160</v>
      </c>
      <c r="E94" s="94"/>
      <c r="F94" s="3" t="s">
        <v>93</v>
      </c>
      <c r="G94" s="25">
        <v>40.484999999999999</v>
      </c>
      <c r="H94" s="45">
        <v>0</v>
      </c>
    </row>
    <row r="95" spans="1:8" x14ac:dyDescent="0.25">
      <c r="A95" s="54"/>
      <c r="D95" s="55" t="s">
        <v>2631</v>
      </c>
      <c r="E95" s="171" t="s">
        <v>46</v>
      </c>
      <c r="F95" s="171"/>
      <c r="G95" s="56">
        <v>26.091999999999999</v>
      </c>
      <c r="H95" s="57"/>
    </row>
    <row r="96" spans="1:8" x14ac:dyDescent="0.25">
      <c r="A96" s="2" t="s">
        <v>46</v>
      </c>
      <c r="B96" s="3" t="s">
        <v>46</v>
      </c>
      <c r="C96" s="3" t="s">
        <v>46</v>
      </c>
      <c r="D96" s="55" t="s">
        <v>2632</v>
      </c>
      <c r="E96" s="171" t="s">
        <v>46</v>
      </c>
      <c r="F96" s="171"/>
      <c r="G96" s="56">
        <v>14.393000000000001</v>
      </c>
      <c r="H96" s="26" t="s">
        <v>46</v>
      </c>
    </row>
    <row r="97" spans="1:8" x14ac:dyDescent="0.25">
      <c r="A97" s="2" t="s">
        <v>88</v>
      </c>
      <c r="B97" s="3" t="s">
        <v>46</v>
      </c>
      <c r="C97" s="3" t="s">
        <v>161</v>
      </c>
      <c r="D97" s="94" t="s">
        <v>162</v>
      </c>
      <c r="E97" s="94"/>
      <c r="F97" s="3" t="s">
        <v>93</v>
      </c>
      <c r="G97" s="25">
        <v>109.474</v>
      </c>
      <c r="H97" s="45">
        <v>0</v>
      </c>
    </row>
    <row r="98" spans="1:8" x14ac:dyDescent="0.25">
      <c r="A98" s="54"/>
      <c r="D98" s="55" t="s">
        <v>2633</v>
      </c>
      <c r="E98" s="171" t="s">
        <v>46</v>
      </c>
      <c r="F98" s="171"/>
      <c r="G98" s="56">
        <v>95.799000000000007</v>
      </c>
      <c r="H98" s="57"/>
    </row>
    <row r="99" spans="1:8" x14ac:dyDescent="0.25">
      <c r="A99" s="2" t="s">
        <v>46</v>
      </c>
      <c r="B99" s="3" t="s">
        <v>46</v>
      </c>
      <c r="C99" s="3" t="s">
        <v>46</v>
      </c>
      <c r="D99" s="55" t="s">
        <v>2634</v>
      </c>
      <c r="E99" s="171" t="s">
        <v>46</v>
      </c>
      <c r="F99" s="171"/>
      <c r="G99" s="56">
        <v>13.675000000000001</v>
      </c>
      <c r="H99" s="26" t="s">
        <v>46</v>
      </c>
    </row>
    <row r="100" spans="1:8" x14ac:dyDescent="0.25">
      <c r="A100" s="2" t="s">
        <v>163</v>
      </c>
      <c r="B100" s="3" t="s">
        <v>46</v>
      </c>
      <c r="C100" s="3" t="s">
        <v>164</v>
      </c>
      <c r="D100" s="94" t="s">
        <v>165</v>
      </c>
      <c r="E100" s="94"/>
      <c r="F100" s="3" t="s">
        <v>93</v>
      </c>
      <c r="G100" s="25">
        <v>18.712</v>
      </c>
      <c r="H100" s="45">
        <v>0</v>
      </c>
    </row>
    <row r="101" spans="1:8" x14ac:dyDescent="0.25">
      <c r="A101" s="54"/>
      <c r="D101" s="55" t="s">
        <v>2635</v>
      </c>
      <c r="E101" s="171" t="s">
        <v>46</v>
      </c>
      <c r="F101" s="171"/>
      <c r="G101" s="56">
        <v>18.712</v>
      </c>
      <c r="H101" s="57"/>
    </row>
    <row r="102" spans="1:8" x14ac:dyDescent="0.25">
      <c r="A102" s="2" t="s">
        <v>166</v>
      </c>
      <c r="B102" s="3" t="s">
        <v>46</v>
      </c>
      <c r="C102" s="3" t="s">
        <v>167</v>
      </c>
      <c r="D102" s="94" t="s">
        <v>168</v>
      </c>
      <c r="E102" s="94"/>
      <c r="F102" s="3" t="s">
        <v>93</v>
      </c>
      <c r="G102" s="25">
        <v>13.406000000000001</v>
      </c>
      <c r="H102" s="45">
        <v>0</v>
      </c>
    </row>
    <row r="103" spans="1:8" x14ac:dyDescent="0.25">
      <c r="A103" s="54"/>
      <c r="D103" s="55" t="s">
        <v>2636</v>
      </c>
      <c r="E103" s="171" t="s">
        <v>46</v>
      </c>
      <c r="F103" s="171"/>
      <c r="G103" s="56">
        <v>13.406000000000001</v>
      </c>
      <c r="H103" s="57"/>
    </row>
    <row r="104" spans="1:8" x14ac:dyDescent="0.25">
      <c r="A104" s="2" t="s">
        <v>169</v>
      </c>
      <c r="B104" s="3" t="s">
        <v>46</v>
      </c>
      <c r="C104" s="3" t="s">
        <v>170</v>
      </c>
      <c r="D104" s="94" t="s">
        <v>171</v>
      </c>
      <c r="E104" s="94"/>
      <c r="F104" s="3" t="s">
        <v>131</v>
      </c>
      <c r="G104" s="25">
        <v>2.87</v>
      </c>
      <c r="H104" s="45">
        <v>0</v>
      </c>
    </row>
    <row r="105" spans="1:8" x14ac:dyDescent="0.25">
      <c r="A105" s="54"/>
      <c r="D105" s="55" t="s">
        <v>2637</v>
      </c>
      <c r="E105" s="171" t="s">
        <v>46</v>
      </c>
      <c r="F105" s="171"/>
      <c r="G105" s="56">
        <v>2.87</v>
      </c>
      <c r="H105" s="57"/>
    </row>
    <row r="106" spans="1:8" x14ac:dyDescent="0.25">
      <c r="A106" s="2" t="s">
        <v>172</v>
      </c>
      <c r="B106" s="3" t="s">
        <v>46</v>
      </c>
      <c r="C106" s="3" t="s">
        <v>173</v>
      </c>
      <c r="D106" s="94" t="s">
        <v>174</v>
      </c>
      <c r="E106" s="94"/>
      <c r="F106" s="3" t="s">
        <v>93</v>
      </c>
      <c r="G106" s="25">
        <v>10</v>
      </c>
      <c r="H106" s="45">
        <v>0</v>
      </c>
    </row>
    <row r="107" spans="1:8" x14ac:dyDescent="0.25">
      <c r="A107" s="54"/>
      <c r="D107" s="55" t="s">
        <v>85</v>
      </c>
      <c r="E107" s="171" t="s">
        <v>46</v>
      </c>
      <c r="F107" s="171"/>
      <c r="G107" s="56">
        <v>10</v>
      </c>
      <c r="H107" s="57"/>
    </row>
    <row r="108" spans="1:8" x14ac:dyDescent="0.25">
      <c r="A108" s="2" t="s">
        <v>175</v>
      </c>
      <c r="B108" s="3" t="s">
        <v>46</v>
      </c>
      <c r="C108" s="3" t="s">
        <v>176</v>
      </c>
      <c r="D108" s="94" t="s">
        <v>177</v>
      </c>
      <c r="E108" s="94"/>
      <c r="F108" s="3" t="s">
        <v>93</v>
      </c>
      <c r="G108" s="25">
        <v>20.292999999999999</v>
      </c>
      <c r="H108" s="45">
        <v>0</v>
      </c>
    </row>
    <row r="109" spans="1:8" x14ac:dyDescent="0.25">
      <c r="A109" s="54"/>
      <c r="D109" s="55" t="s">
        <v>2638</v>
      </c>
      <c r="E109" s="171" t="s">
        <v>46</v>
      </c>
      <c r="F109" s="171"/>
      <c r="G109" s="56">
        <v>17.295999999999999</v>
      </c>
      <c r="H109" s="57"/>
    </row>
    <row r="110" spans="1:8" x14ac:dyDescent="0.25">
      <c r="A110" s="2" t="s">
        <v>46</v>
      </c>
      <c r="B110" s="3" t="s">
        <v>46</v>
      </c>
      <c r="C110" s="3" t="s">
        <v>46</v>
      </c>
      <c r="D110" s="55" t="s">
        <v>2639</v>
      </c>
      <c r="E110" s="171" t="s">
        <v>46</v>
      </c>
      <c r="F110" s="171"/>
      <c r="G110" s="56">
        <v>2.9969999999999999</v>
      </c>
      <c r="H110" s="26" t="s">
        <v>46</v>
      </c>
    </row>
    <row r="111" spans="1:8" x14ac:dyDescent="0.25">
      <c r="A111" s="2" t="s">
        <v>178</v>
      </c>
      <c r="B111" s="3" t="s">
        <v>46</v>
      </c>
      <c r="C111" s="3" t="s">
        <v>179</v>
      </c>
      <c r="D111" s="94" t="s">
        <v>180</v>
      </c>
      <c r="E111" s="94"/>
      <c r="F111" s="3" t="s">
        <v>93</v>
      </c>
      <c r="G111" s="25">
        <v>51.314</v>
      </c>
      <c r="H111" s="45">
        <v>0</v>
      </c>
    </row>
    <row r="112" spans="1:8" x14ac:dyDescent="0.25">
      <c r="A112" s="54"/>
      <c r="D112" s="55" t="s">
        <v>2640</v>
      </c>
      <c r="E112" s="171" t="s">
        <v>46</v>
      </c>
      <c r="F112" s="171"/>
      <c r="G112" s="56">
        <v>43.448</v>
      </c>
      <c r="H112" s="57"/>
    </row>
    <row r="113" spans="1:8" x14ac:dyDescent="0.25">
      <c r="A113" s="2" t="s">
        <v>46</v>
      </c>
      <c r="B113" s="3" t="s">
        <v>46</v>
      </c>
      <c r="C113" s="3" t="s">
        <v>46</v>
      </c>
      <c r="D113" s="55" t="s">
        <v>2641</v>
      </c>
      <c r="E113" s="171" t="s">
        <v>46</v>
      </c>
      <c r="F113" s="171"/>
      <c r="G113" s="56">
        <v>7.8659999999999997</v>
      </c>
      <c r="H113" s="26" t="s">
        <v>46</v>
      </c>
    </row>
    <row r="114" spans="1:8" x14ac:dyDescent="0.25">
      <c r="A114" s="2" t="s">
        <v>181</v>
      </c>
      <c r="B114" s="3" t="s">
        <v>46</v>
      </c>
      <c r="C114" s="3" t="s">
        <v>182</v>
      </c>
      <c r="D114" s="94" t="s">
        <v>183</v>
      </c>
      <c r="E114" s="94"/>
      <c r="F114" s="3" t="s">
        <v>93</v>
      </c>
      <c r="G114" s="25">
        <v>46.783999999999999</v>
      </c>
      <c r="H114" s="45">
        <v>0</v>
      </c>
    </row>
    <row r="115" spans="1:8" x14ac:dyDescent="0.25">
      <c r="A115" s="54"/>
      <c r="D115" s="55" t="s">
        <v>2642</v>
      </c>
      <c r="E115" s="171" t="s">
        <v>46</v>
      </c>
      <c r="F115" s="171"/>
      <c r="G115" s="56">
        <v>10.78</v>
      </c>
      <c r="H115" s="57"/>
    </row>
    <row r="116" spans="1:8" x14ac:dyDescent="0.25">
      <c r="A116" s="2" t="s">
        <v>46</v>
      </c>
      <c r="B116" s="3" t="s">
        <v>46</v>
      </c>
      <c r="C116" s="3" t="s">
        <v>46</v>
      </c>
      <c r="D116" s="55" t="s">
        <v>2643</v>
      </c>
      <c r="E116" s="171" t="s">
        <v>46</v>
      </c>
      <c r="F116" s="171"/>
      <c r="G116" s="56">
        <v>36.003999999999998</v>
      </c>
      <c r="H116" s="26" t="s">
        <v>46</v>
      </c>
    </row>
    <row r="117" spans="1:8" x14ac:dyDescent="0.25">
      <c r="A117" s="2" t="s">
        <v>184</v>
      </c>
      <c r="B117" s="3" t="s">
        <v>46</v>
      </c>
      <c r="C117" s="3" t="s">
        <v>185</v>
      </c>
      <c r="D117" s="94" t="s">
        <v>186</v>
      </c>
      <c r="E117" s="94"/>
      <c r="F117" s="3" t="s">
        <v>93</v>
      </c>
      <c r="G117" s="25">
        <v>4.3460000000000001</v>
      </c>
      <c r="H117" s="45">
        <v>0</v>
      </c>
    </row>
    <row r="118" spans="1:8" x14ac:dyDescent="0.25">
      <c r="A118" s="54"/>
      <c r="D118" s="55" t="s">
        <v>2644</v>
      </c>
      <c r="E118" s="171" t="s">
        <v>46</v>
      </c>
      <c r="F118" s="171"/>
      <c r="G118" s="56">
        <v>4.3460000000000001</v>
      </c>
      <c r="H118" s="57"/>
    </row>
    <row r="119" spans="1:8" x14ac:dyDescent="0.25">
      <c r="A119" s="2" t="s">
        <v>187</v>
      </c>
      <c r="B119" s="3" t="s">
        <v>46</v>
      </c>
      <c r="C119" s="3" t="s">
        <v>188</v>
      </c>
      <c r="D119" s="94" t="s">
        <v>189</v>
      </c>
      <c r="E119" s="94"/>
      <c r="F119" s="3" t="s">
        <v>93</v>
      </c>
      <c r="G119" s="25">
        <v>11.132</v>
      </c>
      <c r="H119" s="45">
        <v>0</v>
      </c>
    </row>
    <row r="120" spans="1:8" x14ac:dyDescent="0.25">
      <c r="A120" s="54"/>
      <c r="D120" s="55" t="s">
        <v>2645</v>
      </c>
      <c r="E120" s="171" t="s">
        <v>46</v>
      </c>
      <c r="F120" s="171"/>
      <c r="G120" s="56">
        <v>2.19</v>
      </c>
      <c r="H120" s="57"/>
    </row>
    <row r="121" spans="1:8" x14ac:dyDescent="0.25">
      <c r="A121" s="2" t="s">
        <v>46</v>
      </c>
      <c r="B121" s="3" t="s">
        <v>46</v>
      </c>
      <c r="C121" s="3" t="s">
        <v>46</v>
      </c>
      <c r="D121" s="55" t="s">
        <v>2646</v>
      </c>
      <c r="E121" s="171" t="s">
        <v>46</v>
      </c>
      <c r="F121" s="171"/>
      <c r="G121" s="56">
        <v>3.3719999999999999</v>
      </c>
      <c r="H121" s="26" t="s">
        <v>46</v>
      </c>
    </row>
    <row r="122" spans="1:8" x14ac:dyDescent="0.25">
      <c r="A122" s="2" t="s">
        <v>46</v>
      </c>
      <c r="B122" s="3" t="s">
        <v>46</v>
      </c>
      <c r="C122" s="3" t="s">
        <v>46</v>
      </c>
      <c r="D122" s="55" t="s">
        <v>2647</v>
      </c>
      <c r="E122" s="171" t="s">
        <v>46</v>
      </c>
      <c r="F122" s="171"/>
      <c r="G122" s="56">
        <v>5.57</v>
      </c>
      <c r="H122" s="26" t="s">
        <v>46</v>
      </c>
    </row>
    <row r="123" spans="1:8" x14ac:dyDescent="0.25">
      <c r="A123" s="2" t="s">
        <v>190</v>
      </c>
      <c r="B123" s="3" t="s">
        <v>46</v>
      </c>
      <c r="C123" s="3" t="s">
        <v>191</v>
      </c>
      <c r="D123" s="94" t="s">
        <v>192</v>
      </c>
      <c r="E123" s="94"/>
      <c r="F123" s="3" t="s">
        <v>93</v>
      </c>
      <c r="G123" s="25">
        <v>37.921999999999997</v>
      </c>
      <c r="H123" s="45">
        <v>0</v>
      </c>
    </row>
    <row r="124" spans="1:8" x14ac:dyDescent="0.25">
      <c r="A124" s="54"/>
      <c r="D124" s="55" t="s">
        <v>2648</v>
      </c>
      <c r="E124" s="171" t="s">
        <v>46</v>
      </c>
      <c r="F124" s="171"/>
      <c r="G124" s="56">
        <v>14.577999999999999</v>
      </c>
      <c r="H124" s="57"/>
    </row>
    <row r="125" spans="1:8" x14ac:dyDescent="0.25">
      <c r="A125" s="2" t="s">
        <v>46</v>
      </c>
      <c r="B125" s="3" t="s">
        <v>46</v>
      </c>
      <c r="C125" s="3" t="s">
        <v>46</v>
      </c>
      <c r="D125" s="55" t="s">
        <v>2644</v>
      </c>
      <c r="E125" s="171" t="s">
        <v>46</v>
      </c>
      <c r="F125" s="171"/>
      <c r="G125" s="56">
        <v>4.3460000000000001</v>
      </c>
      <c r="H125" s="26" t="s">
        <v>46</v>
      </c>
    </row>
    <row r="126" spans="1:8" x14ac:dyDescent="0.25">
      <c r="A126" s="2" t="s">
        <v>46</v>
      </c>
      <c r="B126" s="3" t="s">
        <v>46</v>
      </c>
      <c r="C126" s="3" t="s">
        <v>46</v>
      </c>
      <c r="D126" s="55" t="s">
        <v>2645</v>
      </c>
      <c r="E126" s="171" t="s">
        <v>46</v>
      </c>
      <c r="F126" s="171"/>
      <c r="G126" s="56">
        <v>2.19</v>
      </c>
      <c r="H126" s="26" t="s">
        <v>46</v>
      </c>
    </row>
    <row r="127" spans="1:8" x14ac:dyDescent="0.25">
      <c r="A127" s="2" t="s">
        <v>46</v>
      </c>
      <c r="B127" s="3" t="s">
        <v>46</v>
      </c>
      <c r="C127" s="3" t="s">
        <v>46</v>
      </c>
      <c r="D127" s="55" t="s">
        <v>2646</v>
      </c>
      <c r="E127" s="171" t="s">
        <v>46</v>
      </c>
      <c r="F127" s="171"/>
      <c r="G127" s="56">
        <v>3.3719999999999999</v>
      </c>
      <c r="H127" s="26" t="s">
        <v>46</v>
      </c>
    </row>
    <row r="128" spans="1:8" x14ac:dyDescent="0.25">
      <c r="A128" s="2" t="s">
        <v>46</v>
      </c>
      <c r="B128" s="3" t="s">
        <v>46</v>
      </c>
      <c r="C128" s="3" t="s">
        <v>46</v>
      </c>
      <c r="D128" s="55" t="s">
        <v>2649</v>
      </c>
      <c r="E128" s="171" t="s">
        <v>46</v>
      </c>
      <c r="F128" s="171"/>
      <c r="G128" s="56">
        <v>13.436</v>
      </c>
      <c r="H128" s="26" t="s">
        <v>46</v>
      </c>
    </row>
    <row r="129" spans="1:8" x14ac:dyDescent="0.25">
      <c r="A129" s="58" t="s">
        <v>46</v>
      </c>
      <c r="B129" s="29" t="s">
        <v>46</v>
      </c>
      <c r="C129" s="29" t="s">
        <v>181</v>
      </c>
      <c r="D129" s="151" t="s">
        <v>193</v>
      </c>
      <c r="E129" s="151"/>
      <c r="F129" s="29" t="s">
        <v>46</v>
      </c>
      <c r="G129" s="11" t="s">
        <v>46</v>
      </c>
      <c r="H129" s="31" t="s">
        <v>46</v>
      </c>
    </row>
    <row r="130" spans="1:8" x14ac:dyDescent="0.25">
      <c r="A130" s="2" t="s">
        <v>194</v>
      </c>
      <c r="B130" s="3" t="s">
        <v>46</v>
      </c>
      <c r="C130" s="3" t="s">
        <v>195</v>
      </c>
      <c r="D130" s="94" t="s">
        <v>196</v>
      </c>
      <c r="E130" s="94"/>
      <c r="F130" s="3" t="s">
        <v>61</v>
      </c>
      <c r="G130" s="25">
        <v>5.0999999999999997E-2</v>
      </c>
      <c r="H130" s="45">
        <v>0</v>
      </c>
    </row>
    <row r="131" spans="1:8" x14ac:dyDescent="0.25">
      <c r="A131" s="54"/>
      <c r="D131" s="55" t="s">
        <v>2650</v>
      </c>
      <c r="E131" s="171" t="s">
        <v>46</v>
      </c>
      <c r="F131" s="171"/>
      <c r="G131" s="56">
        <v>5.0999999999999997E-2</v>
      </c>
      <c r="H131" s="57"/>
    </row>
    <row r="132" spans="1:8" x14ac:dyDescent="0.25">
      <c r="A132" s="2" t="s">
        <v>199</v>
      </c>
      <c r="B132" s="3" t="s">
        <v>46</v>
      </c>
      <c r="C132" s="3" t="s">
        <v>200</v>
      </c>
      <c r="D132" s="94" t="s">
        <v>201</v>
      </c>
      <c r="E132" s="94"/>
      <c r="F132" s="3" t="s">
        <v>93</v>
      </c>
      <c r="G132" s="25">
        <v>143.86000000000001</v>
      </c>
      <c r="H132" s="45">
        <v>0</v>
      </c>
    </row>
    <row r="133" spans="1:8" x14ac:dyDescent="0.25">
      <c r="A133" s="54"/>
      <c r="D133" s="55" t="s">
        <v>2651</v>
      </c>
      <c r="E133" s="171" t="s">
        <v>46</v>
      </c>
      <c r="F133" s="171"/>
      <c r="G133" s="56">
        <v>69.489999999999995</v>
      </c>
      <c r="H133" s="57"/>
    </row>
    <row r="134" spans="1:8" x14ac:dyDescent="0.25">
      <c r="A134" s="2" t="s">
        <v>46</v>
      </c>
      <c r="B134" s="3" t="s">
        <v>46</v>
      </c>
      <c r="C134" s="3" t="s">
        <v>46</v>
      </c>
      <c r="D134" s="55" t="s">
        <v>2652</v>
      </c>
      <c r="E134" s="171" t="s">
        <v>46</v>
      </c>
      <c r="F134" s="171"/>
      <c r="G134" s="56">
        <v>21.21</v>
      </c>
      <c r="H134" s="26" t="s">
        <v>46</v>
      </c>
    </row>
    <row r="135" spans="1:8" x14ac:dyDescent="0.25">
      <c r="A135" s="2" t="s">
        <v>46</v>
      </c>
      <c r="B135" s="3" t="s">
        <v>46</v>
      </c>
      <c r="C135" s="3" t="s">
        <v>46</v>
      </c>
      <c r="D135" s="55" t="s">
        <v>2653</v>
      </c>
      <c r="E135" s="171" t="s">
        <v>46</v>
      </c>
      <c r="F135" s="171"/>
      <c r="G135" s="56">
        <v>53.16</v>
      </c>
      <c r="H135" s="26" t="s">
        <v>46</v>
      </c>
    </row>
    <row r="136" spans="1:8" x14ac:dyDescent="0.25">
      <c r="A136" s="2" t="s">
        <v>202</v>
      </c>
      <c r="B136" s="3" t="s">
        <v>46</v>
      </c>
      <c r="C136" s="3" t="s">
        <v>203</v>
      </c>
      <c r="D136" s="94" t="s">
        <v>204</v>
      </c>
      <c r="E136" s="94"/>
      <c r="F136" s="3" t="s">
        <v>93</v>
      </c>
      <c r="G136" s="25">
        <v>35.79</v>
      </c>
      <c r="H136" s="45">
        <v>0</v>
      </c>
    </row>
    <row r="137" spans="1:8" x14ac:dyDescent="0.25">
      <c r="A137" s="54"/>
      <c r="D137" s="55" t="s">
        <v>2654</v>
      </c>
      <c r="E137" s="171" t="s">
        <v>46</v>
      </c>
      <c r="F137" s="171"/>
      <c r="G137" s="56">
        <v>8.4</v>
      </c>
      <c r="H137" s="57"/>
    </row>
    <row r="138" spans="1:8" x14ac:dyDescent="0.25">
      <c r="A138" s="2" t="s">
        <v>46</v>
      </c>
      <c r="B138" s="3" t="s">
        <v>46</v>
      </c>
      <c r="C138" s="3" t="s">
        <v>46</v>
      </c>
      <c r="D138" s="55" t="s">
        <v>2655</v>
      </c>
      <c r="E138" s="171" t="s">
        <v>46</v>
      </c>
      <c r="F138" s="171"/>
      <c r="G138" s="56">
        <v>23.74</v>
      </c>
      <c r="H138" s="26" t="s">
        <v>46</v>
      </c>
    </row>
    <row r="139" spans="1:8" x14ac:dyDescent="0.25">
      <c r="A139" s="2" t="s">
        <v>46</v>
      </c>
      <c r="B139" s="3" t="s">
        <v>46</v>
      </c>
      <c r="C139" s="3" t="s">
        <v>46</v>
      </c>
      <c r="D139" s="55" t="s">
        <v>2656</v>
      </c>
      <c r="E139" s="171" t="s">
        <v>46</v>
      </c>
      <c r="F139" s="171"/>
      <c r="G139" s="56">
        <v>3.65</v>
      </c>
      <c r="H139" s="26" t="s">
        <v>46</v>
      </c>
    </row>
    <row r="140" spans="1:8" x14ac:dyDescent="0.25">
      <c r="A140" s="2" t="s">
        <v>205</v>
      </c>
      <c r="B140" s="3" t="s">
        <v>46</v>
      </c>
      <c r="C140" s="3" t="s">
        <v>206</v>
      </c>
      <c r="D140" s="94" t="s">
        <v>207</v>
      </c>
      <c r="E140" s="94"/>
      <c r="F140" s="3" t="s">
        <v>93</v>
      </c>
      <c r="G140" s="25">
        <v>450.58</v>
      </c>
      <c r="H140" s="45">
        <v>0</v>
      </c>
    </row>
    <row r="141" spans="1:8" x14ac:dyDescent="0.25">
      <c r="A141" s="54"/>
      <c r="D141" s="55" t="s">
        <v>2657</v>
      </c>
      <c r="E141" s="171" t="s">
        <v>46</v>
      </c>
      <c r="F141" s="171"/>
      <c r="G141" s="56">
        <v>341.02</v>
      </c>
      <c r="H141" s="57"/>
    </row>
    <row r="142" spans="1:8" x14ac:dyDescent="0.25">
      <c r="A142" s="2" t="s">
        <v>46</v>
      </c>
      <c r="B142" s="3" t="s">
        <v>46</v>
      </c>
      <c r="C142" s="3" t="s">
        <v>46</v>
      </c>
      <c r="D142" s="55" t="s">
        <v>2658</v>
      </c>
      <c r="E142" s="171" t="s">
        <v>46</v>
      </c>
      <c r="F142" s="171"/>
      <c r="G142" s="56">
        <v>109.56</v>
      </c>
      <c r="H142" s="26" t="s">
        <v>46</v>
      </c>
    </row>
    <row r="143" spans="1:8" x14ac:dyDescent="0.25">
      <c r="A143" s="2" t="s">
        <v>208</v>
      </c>
      <c r="B143" s="3" t="s">
        <v>46</v>
      </c>
      <c r="C143" s="3" t="s">
        <v>209</v>
      </c>
      <c r="D143" s="94" t="s">
        <v>210</v>
      </c>
      <c r="E143" s="94"/>
      <c r="F143" s="3" t="s">
        <v>93</v>
      </c>
      <c r="G143" s="25">
        <v>85.48</v>
      </c>
      <c r="H143" s="45">
        <v>0</v>
      </c>
    </row>
    <row r="144" spans="1:8" x14ac:dyDescent="0.25">
      <c r="A144" s="54"/>
      <c r="D144" s="55" t="s">
        <v>2659</v>
      </c>
      <c r="E144" s="171" t="s">
        <v>46</v>
      </c>
      <c r="F144" s="171"/>
      <c r="G144" s="56">
        <v>78.260000000000005</v>
      </c>
      <c r="H144" s="57"/>
    </row>
    <row r="145" spans="1:8" x14ac:dyDescent="0.25">
      <c r="A145" s="2" t="s">
        <v>46</v>
      </c>
      <c r="B145" s="3" t="s">
        <v>46</v>
      </c>
      <c r="C145" s="3" t="s">
        <v>46</v>
      </c>
      <c r="D145" s="55" t="s">
        <v>2660</v>
      </c>
      <c r="E145" s="171" t="s">
        <v>46</v>
      </c>
      <c r="F145" s="171"/>
      <c r="G145" s="56">
        <v>7.22</v>
      </c>
      <c r="H145" s="26" t="s">
        <v>46</v>
      </c>
    </row>
    <row r="146" spans="1:8" x14ac:dyDescent="0.25">
      <c r="A146" s="2" t="s">
        <v>211</v>
      </c>
      <c r="B146" s="3" t="s">
        <v>46</v>
      </c>
      <c r="C146" s="3" t="s">
        <v>212</v>
      </c>
      <c r="D146" s="94" t="s">
        <v>213</v>
      </c>
      <c r="E146" s="94"/>
      <c r="F146" s="3" t="s">
        <v>93</v>
      </c>
      <c r="G146" s="25">
        <v>19.100000000000001</v>
      </c>
      <c r="H146" s="45">
        <v>0</v>
      </c>
    </row>
    <row r="147" spans="1:8" x14ac:dyDescent="0.25">
      <c r="A147" s="54"/>
      <c r="D147" s="55" t="s">
        <v>2661</v>
      </c>
      <c r="E147" s="171" t="s">
        <v>46</v>
      </c>
      <c r="F147" s="171"/>
      <c r="G147" s="56">
        <v>4.95</v>
      </c>
      <c r="H147" s="57"/>
    </row>
    <row r="148" spans="1:8" x14ac:dyDescent="0.25">
      <c r="A148" s="2" t="s">
        <v>46</v>
      </c>
      <c r="B148" s="3" t="s">
        <v>46</v>
      </c>
      <c r="C148" s="3" t="s">
        <v>46</v>
      </c>
      <c r="D148" s="55" t="s">
        <v>2662</v>
      </c>
      <c r="E148" s="171" t="s">
        <v>46</v>
      </c>
      <c r="F148" s="171"/>
      <c r="G148" s="56">
        <v>5.25</v>
      </c>
      <c r="H148" s="26" t="s">
        <v>46</v>
      </c>
    </row>
    <row r="149" spans="1:8" x14ac:dyDescent="0.25">
      <c r="A149" s="2" t="s">
        <v>46</v>
      </c>
      <c r="B149" s="3" t="s">
        <v>46</v>
      </c>
      <c r="C149" s="3" t="s">
        <v>46</v>
      </c>
      <c r="D149" s="55" t="s">
        <v>2662</v>
      </c>
      <c r="E149" s="171" t="s">
        <v>46</v>
      </c>
      <c r="F149" s="171"/>
      <c r="G149" s="56">
        <v>5.25</v>
      </c>
      <c r="H149" s="26" t="s">
        <v>46</v>
      </c>
    </row>
    <row r="150" spans="1:8" x14ac:dyDescent="0.25">
      <c r="A150" s="2" t="s">
        <v>46</v>
      </c>
      <c r="B150" s="3" t="s">
        <v>46</v>
      </c>
      <c r="C150" s="3" t="s">
        <v>46</v>
      </c>
      <c r="D150" s="55" t="s">
        <v>2656</v>
      </c>
      <c r="E150" s="171" t="s">
        <v>46</v>
      </c>
      <c r="F150" s="171"/>
      <c r="G150" s="56">
        <v>3.65</v>
      </c>
      <c r="H150" s="26" t="s">
        <v>46</v>
      </c>
    </row>
    <row r="151" spans="1:8" x14ac:dyDescent="0.25">
      <c r="A151" s="2" t="s">
        <v>214</v>
      </c>
      <c r="B151" s="3" t="s">
        <v>46</v>
      </c>
      <c r="C151" s="3" t="s">
        <v>215</v>
      </c>
      <c r="D151" s="94" t="s">
        <v>216</v>
      </c>
      <c r="E151" s="94"/>
      <c r="F151" s="3" t="s">
        <v>93</v>
      </c>
      <c r="G151" s="25">
        <v>46.12</v>
      </c>
      <c r="H151" s="45">
        <v>0</v>
      </c>
    </row>
    <row r="152" spans="1:8" x14ac:dyDescent="0.25">
      <c r="A152" s="54"/>
      <c r="D152" s="55" t="s">
        <v>2663</v>
      </c>
      <c r="E152" s="171" t="s">
        <v>46</v>
      </c>
      <c r="F152" s="171"/>
      <c r="G152" s="56">
        <v>2.1</v>
      </c>
      <c r="H152" s="57"/>
    </row>
    <row r="153" spans="1:8" x14ac:dyDescent="0.25">
      <c r="A153" s="2" t="s">
        <v>46</v>
      </c>
      <c r="B153" s="3" t="s">
        <v>46</v>
      </c>
      <c r="C153" s="3" t="s">
        <v>46</v>
      </c>
      <c r="D153" s="55" t="s">
        <v>2664</v>
      </c>
      <c r="E153" s="171" t="s">
        <v>46</v>
      </c>
      <c r="F153" s="171"/>
      <c r="G153" s="56">
        <v>16.86</v>
      </c>
      <c r="H153" s="26" t="s">
        <v>46</v>
      </c>
    </row>
    <row r="154" spans="1:8" x14ac:dyDescent="0.25">
      <c r="A154" s="2" t="s">
        <v>46</v>
      </c>
      <c r="B154" s="3" t="s">
        <v>46</v>
      </c>
      <c r="C154" s="3" t="s">
        <v>46</v>
      </c>
      <c r="D154" s="55" t="s">
        <v>2663</v>
      </c>
      <c r="E154" s="171" t="s">
        <v>46</v>
      </c>
      <c r="F154" s="171"/>
      <c r="G154" s="56">
        <v>2.1</v>
      </c>
      <c r="H154" s="26" t="s">
        <v>46</v>
      </c>
    </row>
    <row r="155" spans="1:8" x14ac:dyDescent="0.25">
      <c r="A155" s="2" t="s">
        <v>46</v>
      </c>
      <c r="B155" s="3" t="s">
        <v>46</v>
      </c>
      <c r="C155" s="3" t="s">
        <v>46</v>
      </c>
      <c r="D155" s="55" t="s">
        <v>2665</v>
      </c>
      <c r="E155" s="171" t="s">
        <v>46</v>
      </c>
      <c r="F155" s="171"/>
      <c r="G155" s="56">
        <v>13.41</v>
      </c>
      <c r="H155" s="26" t="s">
        <v>46</v>
      </c>
    </row>
    <row r="156" spans="1:8" x14ac:dyDescent="0.25">
      <c r="A156" s="2" t="s">
        <v>46</v>
      </c>
      <c r="B156" s="3" t="s">
        <v>46</v>
      </c>
      <c r="C156" s="3" t="s">
        <v>46</v>
      </c>
      <c r="D156" s="55" t="s">
        <v>2666</v>
      </c>
      <c r="E156" s="171" t="s">
        <v>46</v>
      </c>
      <c r="F156" s="171"/>
      <c r="G156" s="56">
        <v>11.65</v>
      </c>
      <c r="H156" s="26" t="s">
        <v>46</v>
      </c>
    </row>
    <row r="157" spans="1:8" x14ac:dyDescent="0.25">
      <c r="A157" s="58" t="s">
        <v>46</v>
      </c>
      <c r="B157" s="29" t="s">
        <v>46</v>
      </c>
      <c r="C157" s="29" t="s">
        <v>217</v>
      </c>
      <c r="D157" s="151" t="s">
        <v>218</v>
      </c>
      <c r="E157" s="151"/>
      <c r="F157" s="29" t="s">
        <v>46</v>
      </c>
      <c r="G157" s="11" t="s">
        <v>46</v>
      </c>
      <c r="H157" s="31" t="s">
        <v>46</v>
      </c>
    </row>
    <row r="158" spans="1:8" x14ac:dyDescent="0.25">
      <c r="A158" s="2" t="s">
        <v>219</v>
      </c>
      <c r="B158" s="3" t="s">
        <v>46</v>
      </c>
      <c r="C158" s="3" t="s">
        <v>220</v>
      </c>
      <c r="D158" s="94" t="s">
        <v>221</v>
      </c>
      <c r="E158" s="94"/>
      <c r="F158" s="3" t="s">
        <v>93</v>
      </c>
      <c r="G158" s="25">
        <v>60.886000000000003</v>
      </c>
      <c r="H158" s="45">
        <v>0</v>
      </c>
    </row>
    <row r="159" spans="1:8" x14ac:dyDescent="0.25">
      <c r="A159" s="54"/>
      <c r="D159" s="55" t="s">
        <v>2667</v>
      </c>
      <c r="E159" s="171" t="s">
        <v>46</v>
      </c>
      <c r="F159" s="171"/>
      <c r="G159" s="56">
        <v>60.886000000000003</v>
      </c>
      <c r="H159" s="57"/>
    </row>
    <row r="160" spans="1:8" x14ac:dyDescent="0.25">
      <c r="A160" s="2" t="s">
        <v>224</v>
      </c>
      <c r="B160" s="3" t="s">
        <v>46</v>
      </c>
      <c r="C160" s="3" t="s">
        <v>225</v>
      </c>
      <c r="D160" s="94" t="s">
        <v>226</v>
      </c>
      <c r="E160" s="94"/>
      <c r="F160" s="3" t="s">
        <v>131</v>
      </c>
      <c r="G160" s="25">
        <v>4.8</v>
      </c>
      <c r="H160" s="45">
        <v>0</v>
      </c>
    </row>
    <row r="161" spans="1:8" x14ac:dyDescent="0.25">
      <c r="A161" s="54"/>
      <c r="D161" s="55" t="s">
        <v>2668</v>
      </c>
      <c r="E161" s="171" t="s">
        <v>46</v>
      </c>
      <c r="F161" s="171"/>
      <c r="G161" s="56">
        <v>4.8</v>
      </c>
      <c r="H161" s="57"/>
    </row>
    <row r="162" spans="1:8" x14ac:dyDescent="0.25">
      <c r="A162" s="2" t="s">
        <v>227</v>
      </c>
      <c r="B162" s="3" t="s">
        <v>46</v>
      </c>
      <c r="C162" s="3" t="s">
        <v>228</v>
      </c>
      <c r="D162" s="94" t="s">
        <v>229</v>
      </c>
      <c r="E162" s="94"/>
      <c r="F162" s="3" t="s">
        <v>93</v>
      </c>
      <c r="G162" s="25">
        <v>69.174999999999997</v>
      </c>
      <c r="H162" s="45">
        <v>0</v>
      </c>
    </row>
    <row r="163" spans="1:8" x14ac:dyDescent="0.25">
      <c r="A163" s="54"/>
      <c r="D163" s="55" t="s">
        <v>2669</v>
      </c>
      <c r="E163" s="171" t="s">
        <v>46</v>
      </c>
      <c r="F163" s="171"/>
      <c r="G163" s="56">
        <v>31.754999999999999</v>
      </c>
      <c r="H163" s="57"/>
    </row>
    <row r="164" spans="1:8" x14ac:dyDescent="0.25">
      <c r="A164" s="2" t="s">
        <v>46</v>
      </c>
      <c r="B164" s="3" t="s">
        <v>46</v>
      </c>
      <c r="C164" s="3" t="s">
        <v>46</v>
      </c>
      <c r="D164" s="55" t="s">
        <v>2670</v>
      </c>
      <c r="E164" s="171" t="s">
        <v>46</v>
      </c>
      <c r="F164" s="171"/>
      <c r="G164" s="56">
        <v>29.5</v>
      </c>
      <c r="H164" s="26" t="s">
        <v>46</v>
      </c>
    </row>
    <row r="165" spans="1:8" x14ac:dyDescent="0.25">
      <c r="A165" s="2" t="s">
        <v>46</v>
      </c>
      <c r="B165" s="3" t="s">
        <v>46</v>
      </c>
      <c r="C165" s="3" t="s">
        <v>46</v>
      </c>
      <c r="D165" s="55" t="s">
        <v>2671</v>
      </c>
      <c r="E165" s="171" t="s">
        <v>46</v>
      </c>
      <c r="F165" s="171"/>
      <c r="G165" s="56">
        <v>7.92</v>
      </c>
      <c r="H165" s="26" t="s">
        <v>46</v>
      </c>
    </row>
    <row r="166" spans="1:8" x14ac:dyDescent="0.25">
      <c r="A166" s="2" t="s">
        <v>230</v>
      </c>
      <c r="B166" s="3" t="s">
        <v>46</v>
      </c>
      <c r="C166" s="3" t="s">
        <v>231</v>
      </c>
      <c r="D166" s="94" t="s">
        <v>232</v>
      </c>
      <c r="E166" s="94"/>
      <c r="F166" s="3" t="s">
        <v>52</v>
      </c>
      <c r="G166" s="25">
        <v>20</v>
      </c>
      <c r="H166" s="45">
        <v>0</v>
      </c>
    </row>
    <row r="167" spans="1:8" x14ac:dyDescent="0.25">
      <c r="A167" s="54"/>
      <c r="D167" s="55" t="s">
        <v>119</v>
      </c>
      <c r="E167" s="171" t="s">
        <v>46</v>
      </c>
      <c r="F167" s="171"/>
      <c r="G167" s="56">
        <v>20</v>
      </c>
      <c r="H167" s="57"/>
    </row>
    <row r="168" spans="1:8" x14ac:dyDescent="0.25">
      <c r="A168" s="2" t="s">
        <v>233</v>
      </c>
      <c r="B168" s="3" t="s">
        <v>46</v>
      </c>
      <c r="C168" s="3" t="s">
        <v>234</v>
      </c>
      <c r="D168" s="94" t="s">
        <v>235</v>
      </c>
      <c r="E168" s="94"/>
      <c r="F168" s="3" t="s">
        <v>52</v>
      </c>
      <c r="G168" s="25">
        <v>4</v>
      </c>
      <c r="H168" s="45">
        <v>0</v>
      </c>
    </row>
    <row r="169" spans="1:8" x14ac:dyDescent="0.25">
      <c r="A169" s="54"/>
      <c r="D169" s="55" t="s">
        <v>65</v>
      </c>
      <c r="E169" s="171" t="s">
        <v>46</v>
      </c>
      <c r="F169" s="171"/>
      <c r="G169" s="56">
        <v>4</v>
      </c>
      <c r="H169" s="57"/>
    </row>
    <row r="170" spans="1:8" x14ac:dyDescent="0.25">
      <c r="A170" s="2" t="s">
        <v>236</v>
      </c>
      <c r="B170" s="3" t="s">
        <v>46</v>
      </c>
      <c r="C170" s="3" t="s">
        <v>237</v>
      </c>
      <c r="D170" s="94" t="s">
        <v>238</v>
      </c>
      <c r="E170" s="94"/>
      <c r="F170" s="3" t="s">
        <v>93</v>
      </c>
      <c r="G170" s="25">
        <v>971.66899999999998</v>
      </c>
      <c r="H170" s="45">
        <v>0</v>
      </c>
    </row>
    <row r="171" spans="1:8" x14ac:dyDescent="0.25">
      <c r="A171" s="54"/>
      <c r="D171" s="55" t="s">
        <v>2672</v>
      </c>
      <c r="E171" s="171" t="s">
        <v>46</v>
      </c>
      <c r="F171" s="171"/>
      <c r="G171" s="56">
        <v>741.476</v>
      </c>
      <c r="H171" s="57"/>
    </row>
    <row r="172" spans="1:8" x14ac:dyDescent="0.25">
      <c r="A172" s="2" t="s">
        <v>46</v>
      </c>
      <c r="B172" s="3" t="s">
        <v>46</v>
      </c>
      <c r="C172" s="3" t="s">
        <v>46</v>
      </c>
      <c r="D172" s="55" t="s">
        <v>2673</v>
      </c>
      <c r="E172" s="171" t="s">
        <v>46</v>
      </c>
      <c r="F172" s="171"/>
      <c r="G172" s="56">
        <v>119.086</v>
      </c>
      <c r="H172" s="26" t="s">
        <v>46</v>
      </c>
    </row>
    <row r="173" spans="1:8" x14ac:dyDescent="0.25">
      <c r="A173" s="2" t="s">
        <v>46</v>
      </c>
      <c r="B173" s="3" t="s">
        <v>46</v>
      </c>
      <c r="C173" s="3" t="s">
        <v>46</v>
      </c>
      <c r="D173" s="55" t="s">
        <v>2674</v>
      </c>
      <c r="E173" s="171" t="s">
        <v>46</v>
      </c>
      <c r="F173" s="171"/>
      <c r="G173" s="56">
        <v>111.107</v>
      </c>
      <c r="H173" s="26" t="s">
        <v>46</v>
      </c>
    </row>
    <row r="174" spans="1:8" x14ac:dyDescent="0.25">
      <c r="A174" s="2" t="s">
        <v>239</v>
      </c>
      <c r="B174" s="3" t="s">
        <v>46</v>
      </c>
      <c r="C174" s="3" t="s">
        <v>240</v>
      </c>
      <c r="D174" s="94" t="s">
        <v>241</v>
      </c>
      <c r="E174" s="94"/>
      <c r="F174" s="3" t="s">
        <v>93</v>
      </c>
      <c r="G174" s="25">
        <v>30.582000000000001</v>
      </c>
      <c r="H174" s="45">
        <v>0</v>
      </c>
    </row>
    <row r="175" spans="1:8" x14ac:dyDescent="0.25">
      <c r="A175" s="54"/>
      <c r="D175" s="55" t="s">
        <v>2675</v>
      </c>
      <c r="E175" s="171" t="s">
        <v>46</v>
      </c>
      <c r="F175" s="171"/>
      <c r="G175" s="56">
        <v>15.898999999999999</v>
      </c>
      <c r="H175" s="57"/>
    </row>
    <row r="176" spans="1:8" x14ac:dyDescent="0.25">
      <c r="A176" s="2" t="s">
        <v>46</v>
      </c>
      <c r="B176" s="3" t="s">
        <v>46</v>
      </c>
      <c r="C176" s="3" t="s">
        <v>46</v>
      </c>
      <c r="D176" s="55" t="s">
        <v>2676</v>
      </c>
      <c r="E176" s="171" t="s">
        <v>46</v>
      </c>
      <c r="F176" s="171"/>
      <c r="G176" s="56">
        <v>9.9909999999999997</v>
      </c>
      <c r="H176" s="26" t="s">
        <v>46</v>
      </c>
    </row>
    <row r="177" spans="1:8" x14ac:dyDescent="0.25">
      <c r="A177" s="2" t="s">
        <v>46</v>
      </c>
      <c r="B177" s="3" t="s">
        <v>46</v>
      </c>
      <c r="C177" s="3" t="s">
        <v>46</v>
      </c>
      <c r="D177" s="55" t="s">
        <v>2677</v>
      </c>
      <c r="E177" s="171" t="s">
        <v>46</v>
      </c>
      <c r="F177" s="171"/>
      <c r="G177" s="56">
        <v>4.6920000000000002</v>
      </c>
      <c r="H177" s="26" t="s">
        <v>46</v>
      </c>
    </row>
    <row r="178" spans="1:8" x14ac:dyDescent="0.25">
      <c r="A178" s="2" t="s">
        <v>242</v>
      </c>
      <c r="B178" s="3" t="s">
        <v>46</v>
      </c>
      <c r="C178" s="3" t="s">
        <v>243</v>
      </c>
      <c r="D178" s="94" t="s">
        <v>244</v>
      </c>
      <c r="E178" s="94"/>
      <c r="F178" s="3" t="s">
        <v>93</v>
      </c>
      <c r="G178" s="25">
        <v>1.452</v>
      </c>
      <c r="H178" s="45">
        <v>0</v>
      </c>
    </row>
    <row r="179" spans="1:8" x14ac:dyDescent="0.25">
      <c r="A179" s="54"/>
      <c r="D179" s="55" t="s">
        <v>2678</v>
      </c>
      <c r="E179" s="171" t="s">
        <v>46</v>
      </c>
      <c r="F179" s="171"/>
      <c r="G179" s="56">
        <v>1.452</v>
      </c>
      <c r="H179" s="57"/>
    </row>
    <row r="180" spans="1:8" x14ac:dyDescent="0.25">
      <c r="A180" s="2" t="s">
        <v>245</v>
      </c>
      <c r="B180" s="3" t="s">
        <v>46</v>
      </c>
      <c r="C180" s="3" t="s">
        <v>246</v>
      </c>
      <c r="D180" s="94" t="s">
        <v>247</v>
      </c>
      <c r="E180" s="94"/>
      <c r="F180" s="3" t="s">
        <v>93</v>
      </c>
      <c r="G180" s="25">
        <v>14.042999999999999</v>
      </c>
      <c r="H180" s="45">
        <v>0</v>
      </c>
    </row>
    <row r="181" spans="1:8" x14ac:dyDescent="0.25">
      <c r="A181" s="54"/>
      <c r="D181" s="55" t="s">
        <v>2679</v>
      </c>
      <c r="E181" s="171" t="s">
        <v>46</v>
      </c>
      <c r="F181" s="171"/>
      <c r="G181" s="56">
        <v>14.042999999999999</v>
      </c>
      <c r="H181" s="57"/>
    </row>
    <row r="182" spans="1:8" x14ac:dyDescent="0.25">
      <c r="A182" s="2" t="s">
        <v>217</v>
      </c>
      <c r="B182" s="3" t="s">
        <v>46</v>
      </c>
      <c r="C182" s="3" t="s">
        <v>248</v>
      </c>
      <c r="D182" s="94" t="s">
        <v>249</v>
      </c>
      <c r="E182" s="94"/>
      <c r="F182" s="3" t="s">
        <v>93</v>
      </c>
      <c r="G182" s="25">
        <v>1168.421</v>
      </c>
      <c r="H182" s="45">
        <v>0</v>
      </c>
    </row>
    <row r="183" spans="1:8" x14ac:dyDescent="0.25">
      <c r="A183" s="54"/>
      <c r="D183" s="55" t="s">
        <v>2680</v>
      </c>
      <c r="E183" s="171" t="s">
        <v>46</v>
      </c>
      <c r="F183" s="171"/>
      <c r="G183" s="56">
        <v>886.452</v>
      </c>
      <c r="H183" s="57"/>
    </row>
    <row r="184" spans="1:8" x14ac:dyDescent="0.25">
      <c r="A184" s="2" t="s">
        <v>46</v>
      </c>
      <c r="B184" s="3" t="s">
        <v>46</v>
      </c>
      <c r="C184" s="3" t="s">
        <v>46</v>
      </c>
      <c r="D184" s="55" t="s">
        <v>2681</v>
      </c>
      <c r="E184" s="171" t="s">
        <v>46</v>
      </c>
      <c r="F184" s="171"/>
      <c r="G184" s="56">
        <v>12.904999999999999</v>
      </c>
      <c r="H184" s="26" t="s">
        <v>46</v>
      </c>
    </row>
    <row r="185" spans="1:8" x14ac:dyDescent="0.25">
      <c r="A185" s="2" t="s">
        <v>46</v>
      </c>
      <c r="B185" s="3" t="s">
        <v>46</v>
      </c>
      <c r="C185" s="3" t="s">
        <v>46</v>
      </c>
      <c r="D185" s="55" t="s">
        <v>2682</v>
      </c>
      <c r="E185" s="171" t="s">
        <v>46</v>
      </c>
      <c r="F185" s="171"/>
      <c r="G185" s="56">
        <v>34.244999999999997</v>
      </c>
      <c r="H185" s="26" t="s">
        <v>46</v>
      </c>
    </row>
    <row r="186" spans="1:8" x14ac:dyDescent="0.25">
      <c r="A186" s="2" t="s">
        <v>46</v>
      </c>
      <c r="B186" s="3" t="s">
        <v>46</v>
      </c>
      <c r="C186" s="3" t="s">
        <v>46</v>
      </c>
      <c r="D186" s="55" t="s">
        <v>2683</v>
      </c>
      <c r="E186" s="171" t="s">
        <v>46</v>
      </c>
      <c r="F186" s="171"/>
      <c r="G186" s="56">
        <v>5.05</v>
      </c>
      <c r="H186" s="26" t="s">
        <v>46</v>
      </c>
    </row>
    <row r="187" spans="1:8" x14ac:dyDescent="0.25">
      <c r="A187" s="2" t="s">
        <v>46</v>
      </c>
      <c r="B187" s="3" t="s">
        <v>46</v>
      </c>
      <c r="C187" s="3" t="s">
        <v>46</v>
      </c>
      <c r="D187" s="55" t="s">
        <v>2684</v>
      </c>
      <c r="E187" s="171" t="s">
        <v>46</v>
      </c>
      <c r="F187" s="171"/>
      <c r="G187" s="56">
        <v>50.052999999999997</v>
      </c>
      <c r="H187" s="26" t="s">
        <v>46</v>
      </c>
    </row>
    <row r="188" spans="1:8" x14ac:dyDescent="0.25">
      <c r="A188" s="2" t="s">
        <v>46</v>
      </c>
      <c r="B188" s="3" t="s">
        <v>46</v>
      </c>
      <c r="C188" s="3" t="s">
        <v>46</v>
      </c>
      <c r="D188" s="55" t="s">
        <v>2685</v>
      </c>
      <c r="E188" s="171" t="s">
        <v>46</v>
      </c>
      <c r="F188" s="171"/>
      <c r="G188" s="56">
        <v>2.1619999999999999</v>
      </c>
      <c r="H188" s="26" t="s">
        <v>46</v>
      </c>
    </row>
    <row r="189" spans="1:8" x14ac:dyDescent="0.25">
      <c r="A189" s="2" t="s">
        <v>46</v>
      </c>
      <c r="B189" s="3" t="s">
        <v>46</v>
      </c>
      <c r="C189" s="3" t="s">
        <v>46</v>
      </c>
      <c r="D189" s="55" t="s">
        <v>2686</v>
      </c>
      <c r="E189" s="171" t="s">
        <v>46</v>
      </c>
      <c r="F189" s="171"/>
      <c r="G189" s="56">
        <v>3.5939999999999999</v>
      </c>
      <c r="H189" s="26" t="s">
        <v>46</v>
      </c>
    </row>
    <row r="190" spans="1:8" x14ac:dyDescent="0.25">
      <c r="A190" s="2" t="s">
        <v>46</v>
      </c>
      <c r="B190" s="3" t="s">
        <v>46</v>
      </c>
      <c r="C190" s="3" t="s">
        <v>46</v>
      </c>
      <c r="D190" s="55" t="s">
        <v>2687</v>
      </c>
      <c r="E190" s="171" t="s">
        <v>46</v>
      </c>
      <c r="F190" s="171"/>
      <c r="G190" s="56">
        <v>24.346</v>
      </c>
      <c r="H190" s="26" t="s">
        <v>46</v>
      </c>
    </row>
    <row r="191" spans="1:8" x14ac:dyDescent="0.25">
      <c r="A191" s="2" t="s">
        <v>46</v>
      </c>
      <c r="B191" s="3" t="s">
        <v>46</v>
      </c>
      <c r="C191" s="3" t="s">
        <v>46</v>
      </c>
      <c r="D191" s="55" t="s">
        <v>2688</v>
      </c>
      <c r="E191" s="171" t="s">
        <v>46</v>
      </c>
      <c r="F191" s="171"/>
      <c r="G191" s="56">
        <v>52.781999999999996</v>
      </c>
      <c r="H191" s="26" t="s">
        <v>46</v>
      </c>
    </row>
    <row r="192" spans="1:8" x14ac:dyDescent="0.25">
      <c r="A192" s="2" t="s">
        <v>46</v>
      </c>
      <c r="B192" s="3" t="s">
        <v>46</v>
      </c>
      <c r="C192" s="3" t="s">
        <v>46</v>
      </c>
      <c r="D192" s="55" t="s">
        <v>2689</v>
      </c>
      <c r="E192" s="171" t="s">
        <v>46</v>
      </c>
      <c r="F192" s="171"/>
      <c r="G192" s="56">
        <v>5.6120000000000001</v>
      </c>
      <c r="H192" s="26" t="s">
        <v>46</v>
      </c>
    </row>
    <row r="193" spans="1:8" x14ac:dyDescent="0.25">
      <c r="A193" s="2" t="s">
        <v>46</v>
      </c>
      <c r="B193" s="3" t="s">
        <v>46</v>
      </c>
      <c r="C193" s="3" t="s">
        <v>46</v>
      </c>
      <c r="D193" s="55" t="s">
        <v>2690</v>
      </c>
      <c r="E193" s="171" t="s">
        <v>46</v>
      </c>
      <c r="F193" s="171"/>
      <c r="G193" s="56">
        <v>30.538</v>
      </c>
      <c r="H193" s="26" t="s">
        <v>46</v>
      </c>
    </row>
    <row r="194" spans="1:8" x14ac:dyDescent="0.25">
      <c r="A194" s="2" t="s">
        <v>46</v>
      </c>
      <c r="B194" s="3" t="s">
        <v>46</v>
      </c>
      <c r="C194" s="3" t="s">
        <v>46</v>
      </c>
      <c r="D194" s="55" t="s">
        <v>2691</v>
      </c>
      <c r="E194" s="171" t="s">
        <v>46</v>
      </c>
      <c r="F194" s="171"/>
      <c r="G194" s="56">
        <v>47.652000000000001</v>
      </c>
      <c r="H194" s="26" t="s">
        <v>46</v>
      </c>
    </row>
    <row r="195" spans="1:8" x14ac:dyDescent="0.25">
      <c r="A195" s="2" t="s">
        <v>46</v>
      </c>
      <c r="B195" s="3" t="s">
        <v>46</v>
      </c>
      <c r="C195" s="3" t="s">
        <v>46</v>
      </c>
      <c r="D195" s="55" t="s">
        <v>2692</v>
      </c>
      <c r="E195" s="171" t="s">
        <v>46</v>
      </c>
      <c r="F195" s="171"/>
      <c r="G195" s="56">
        <v>13.03</v>
      </c>
      <c r="H195" s="26" t="s">
        <v>46</v>
      </c>
    </row>
    <row r="196" spans="1:8" x14ac:dyDescent="0.25">
      <c r="A196" s="2" t="s">
        <v>250</v>
      </c>
      <c r="B196" s="3" t="s">
        <v>46</v>
      </c>
      <c r="C196" s="3" t="s">
        <v>251</v>
      </c>
      <c r="D196" s="94" t="s">
        <v>252</v>
      </c>
      <c r="E196" s="94"/>
      <c r="F196" s="3" t="s">
        <v>93</v>
      </c>
      <c r="G196" s="25">
        <v>997.55899999999997</v>
      </c>
      <c r="H196" s="45">
        <v>0</v>
      </c>
    </row>
    <row r="197" spans="1:8" x14ac:dyDescent="0.25">
      <c r="A197" s="54"/>
      <c r="D197" s="55" t="s">
        <v>2680</v>
      </c>
      <c r="E197" s="171" t="s">
        <v>46</v>
      </c>
      <c r="F197" s="171"/>
      <c r="G197" s="56">
        <v>886.452</v>
      </c>
      <c r="H197" s="57"/>
    </row>
    <row r="198" spans="1:8" x14ac:dyDescent="0.25">
      <c r="A198" s="2" t="s">
        <v>46</v>
      </c>
      <c r="B198" s="3" t="s">
        <v>46</v>
      </c>
      <c r="C198" s="3" t="s">
        <v>46</v>
      </c>
      <c r="D198" s="55" t="s">
        <v>2674</v>
      </c>
      <c r="E198" s="171" t="s">
        <v>46</v>
      </c>
      <c r="F198" s="171"/>
      <c r="G198" s="56">
        <v>111.107</v>
      </c>
      <c r="H198" s="26" t="s">
        <v>46</v>
      </c>
    </row>
    <row r="199" spans="1:8" x14ac:dyDescent="0.25">
      <c r="A199" s="2" t="s">
        <v>253</v>
      </c>
      <c r="B199" s="3" t="s">
        <v>46</v>
      </c>
      <c r="C199" s="3" t="s">
        <v>254</v>
      </c>
      <c r="D199" s="94" t="s">
        <v>255</v>
      </c>
      <c r="E199" s="94"/>
      <c r="F199" s="3" t="s">
        <v>93</v>
      </c>
      <c r="G199" s="25">
        <v>5</v>
      </c>
      <c r="H199" s="45">
        <v>0</v>
      </c>
    </row>
    <row r="200" spans="1:8" x14ac:dyDescent="0.25">
      <c r="A200" s="54"/>
      <c r="D200" s="55" t="s">
        <v>68</v>
      </c>
      <c r="E200" s="171" t="s">
        <v>46</v>
      </c>
      <c r="F200" s="171"/>
      <c r="G200" s="56">
        <v>5</v>
      </c>
      <c r="H200" s="57"/>
    </row>
    <row r="201" spans="1:8" x14ac:dyDescent="0.25">
      <c r="A201" s="58" t="s">
        <v>46</v>
      </c>
      <c r="B201" s="29" t="s">
        <v>46</v>
      </c>
      <c r="C201" s="29" t="s">
        <v>250</v>
      </c>
      <c r="D201" s="151" t="s">
        <v>256</v>
      </c>
      <c r="E201" s="151"/>
      <c r="F201" s="29" t="s">
        <v>46</v>
      </c>
      <c r="G201" s="11" t="s">
        <v>46</v>
      </c>
      <c r="H201" s="31" t="s">
        <v>46</v>
      </c>
    </row>
    <row r="202" spans="1:8" x14ac:dyDescent="0.25">
      <c r="A202" s="2" t="s">
        <v>257</v>
      </c>
      <c r="B202" s="3" t="s">
        <v>46</v>
      </c>
      <c r="C202" s="3" t="s">
        <v>258</v>
      </c>
      <c r="D202" s="94" t="s">
        <v>259</v>
      </c>
      <c r="E202" s="94"/>
      <c r="F202" s="3" t="s">
        <v>131</v>
      </c>
      <c r="G202" s="25">
        <v>4.8</v>
      </c>
      <c r="H202" s="45">
        <v>0</v>
      </c>
    </row>
    <row r="203" spans="1:8" x14ac:dyDescent="0.25">
      <c r="A203" s="54"/>
      <c r="D203" s="55" t="s">
        <v>2668</v>
      </c>
      <c r="E203" s="171" t="s">
        <v>46</v>
      </c>
      <c r="F203" s="171"/>
      <c r="G203" s="56">
        <v>4.8</v>
      </c>
      <c r="H203" s="57"/>
    </row>
    <row r="204" spans="1:8" x14ac:dyDescent="0.25">
      <c r="A204" s="2" t="s">
        <v>261</v>
      </c>
      <c r="B204" s="3" t="s">
        <v>46</v>
      </c>
      <c r="C204" s="3" t="s">
        <v>262</v>
      </c>
      <c r="D204" s="94" t="s">
        <v>263</v>
      </c>
      <c r="E204" s="94"/>
      <c r="F204" s="3" t="s">
        <v>52</v>
      </c>
      <c r="G204" s="25">
        <v>1</v>
      </c>
      <c r="H204" s="45">
        <v>0</v>
      </c>
    </row>
    <row r="205" spans="1:8" x14ac:dyDescent="0.25">
      <c r="A205" s="54"/>
      <c r="D205" s="55" t="s">
        <v>49</v>
      </c>
      <c r="E205" s="171" t="s">
        <v>46</v>
      </c>
      <c r="F205" s="171"/>
      <c r="G205" s="56">
        <v>1</v>
      </c>
      <c r="H205" s="57"/>
    </row>
    <row r="206" spans="1:8" x14ac:dyDescent="0.25">
      <c r="A206" s="2" t="s">
        <v>264</v>
      </c>
      <c r="B206" s="3" t="s">
        <v>46</v>
      </c>
      <c r="C206" s="3" t="s">
        <v>265</v>
      </c>
      <c r="D206" s="94" t="s">
        <v>266</v>
      </c>
      <c r="E206" s="94"/>
      <c r="F206" s="3" t="s">
        <v>93</v>
      </c>
      <c r="G206" s="25">
        <v>1.2749999999999999</v>
      </c>
      <c r="H206" s="45">
        <v>0</v>
      </c>
    </row>
    <row r="207" spans="1:8" x14ac:dyDescent="0.25">
      <c r="A207" s="54"/>
      <c r="D207" s="55" t="s">
        <v>2693</v>
      </c>
      <c r="E207" s="171" t="s">
        <v>46</v>
      </c>
      <c r="F207" s="171"/>
      <c r="G207" s="56">
        <v>1.2749999999999999</v>
      </c>
      <c r="H207" s="57"/>
    </row>
    <row r="208" spans="1:8" x14ac:dyDescent="0.25">
      <c r="A208" s="58" t="s">
        <v>46</v>
      </c>
      <c r="B208" s="29" t="s">
        <v>46</v>
      </c>
      <c r="C208" s="29" t="s">
        <v>253</v>
      </c>
      <c r="D208" s="151" t="s">
        <v>267</v>
      </c>
      <c r="E208" s="151"/>
      <c r="F208" s="29" t="s">
        <v>46</v>
      </c>
      <c r="G208" s="11" t="s">
        <v>46</v>
      </c>
      <c r="H208" s="31" t="s">
        <v>46</v>
      </c>
    </row>
    <row r="209" spans="1:8" x14ac:dyDescent="0.25">
      <c r="A209" s="2" t="s">
        <v>268</v>
      </c>
      <c r="B209" s="3" t="s">
        <v>46</v>
      </c>
      <c r="C209" s="3" t="s">
        <v>269</v>
      </c>
      <c r="D209" s="94" t="s">
        <v>270</v>
      </c>
      <c r="E209" s="94"/>
      <c r="F209" s="3" t="s">
        <v>61</v>
      </c>
      <c r="G209" s="25">
        <v>3.92</v>
      </c>
      <c r="H209" s="45">
        <v>0</v>
      </c>
    </row>
    <row r="210" spans="1:8" x14ac:dyDescent="0.25">
      <c r="A210" s="54"/>
      <c r="D210" s="55" t="s">
        <v>2694</v>
      </c>
      <c r="E210" s="171" t="s">
        <v>46</v>
      </c>
      <c r="F210" s="171"/>
      <c r="G210" s="56">
        <v>3.92</v>
      </c>
      <c r="H210" s="57"/>
    </row>
    <row r="211" spans="1:8" x14ac:dyDescent="0.25">
      <c r="A211" s="2" t="s">
        <v>272</v>
      </c>
      <c r="B211" s="3" t="s">
        <v>46</v>
      </c>
      <c r="C211" s="3" t="s">
        <v>273</v>
      </c>
      <c r="D211" s="94" t="s">
        <v>274</v>
      </c>
      <c r="E211" s="94"/>
      <c r="F211" s="3" t="s">
        <v>71</v>
      </c>
      <c r="G211" s="25">
        <v>0.29399999999999998</v>
      </c>
      <c r="H211" s="45">
        <v>0</v>
      </c>
    </row>
    <row r="212" spans="1:8" x14ac:dyDescent="0.25">
      <c r="A212" s="54"/>
      <c r="D212" s="55" t="s">
        <v>2695</v>
      </c>
      <c r="E212" s="171" t="s">
        <v>46</v>
      </c>
      <c r="F212" s="171"/>
      <c r="G212" s="56">
        <v>0.29399999999999998</v>
      </c>
      <c r="H212" s="57"/>
    </row>
    <row r="213" spans="1:8" x14ac:dyDescent="0.25">
      <c r="A213" s="2" t="s">
        <v>275</v>
      </c>
      <c r="B213" s="3" t="s">
        <v>46</v>
      </c>
      <c r="C213" s="3" t="s">
        <v>276</v>
      </c>
      <c r="D213" s="94" t="s">
        <v>277</v>
      </c>
      <c r="E213" s="94"/>
      <c r="F213" s="3" t="s">
        <v>93</v>
      </c>
      <c r="G213" s="25">
        <v>539.34</v>
      </c>
      <c r="H213" s="45">
        <v>0</v>
      </c>
    </row>
    <row r="214" spans="1:8" x14ac:dyDescent="0.25">
      <c r="A214" s="54"/>
      <c r="D214" s="55" t="s">
        <v>2696</v>
      </c>
      <c r="E214" s="171" t="s">
        <v>46</v>
      </c>
      <c r="F214" s="171"/>
      <c r="G214" s="56">
        <v>431.88</v>
      </c>
      <c r="H214" s="57"/>
    </row>
    <row r="215" spans="1:8" x14ac:dyDescent="0.25">
      <c r="A215" s="2" t="s">
        <v>46</v>
      </c>
      <c r="B215" s="3" t="s">
        <v>46</v>
      </c>
      <c r="C215" s="3" t="s">
        <v>46</v>
      </c>
      <c r="D215" s="55" t="s">
        <v>2697</v>
      </c>
      <c r="E215" s="171" t="s">
        <v>46</v>
      </c>
      <c r="F215" s="171"/>
      <c r="G215" s="56">
        <v>107.46</v>
      </c>
      <c r="H215" s="26" t="s">
        <v>46</v>
      </c>
    </row>
    <row r="216" spans="1:8" x14ac:dyDescent="0.25">
      <c r="A216" s="2" t="s">
        <v>278</v>
      </c>
      <c r="B216" s="3" t="s">
        <v>46</v>
      </c>
      <c r="C216" s="3" t="s">
        <v>279</v>
      </c>
      <c r="D216" s="94" t="s">
        <v>280</v>
      </c>
      <c r="E216" s="94"/>
      <c r="F216" s="3" t="s">
        <v>93</v>
      </c>
      <c r="G216" s="25">
        <v>539.34</v>
      </c>
      <c r="H216" s="45">
        <v>0</v>
      </c>
    </row>
    <row r="217" spans="1:8" x14ac:dyDescent="0.25">
      <c r="A217" s="54"/>
      <c r="D217" s="55" t="s">
        <v>2696</v>
      </c>
      <c r="E217" s="171" t="s">
        <v>46</v>
      </c>
      <c r="F217" s="171"/>
      <c r="G217" s="56">
        <v>431.88</v>
      </c>
      <c r="H217" s="57"/>
    </row>
    <row r="218" spans="1:8" x14ac:dyDescent="0.25">
      <c r="A218" s="2" t="s">
        <v>46</v>
      </c>
      <c r="B218" s="3" t="s">
        <v>46</v>
      </c>
      <c r="C218" s="3" t="s">
        <v>46</v>
      </c>
      <c r="D218" s="55" t="s">
        <v>2697</v>
      </c>
      <c r="E218" s="171" t="s">
        <v>46</v>
      </c>
      <c r="F218" s="171"/>
      <c r="G218" s="56">
        <v>107.46</v>
      </c>
      <c r="H218" s="26" t="s">
        <v>46</v>
      </c>
    </row>
    <row r="219" spans="1:8" x14ac:dyDescent="0.25">
      <c r="A219" s="2" t="s">
        <v>281</v>
      </c>
      <c r="B219" s="3" t="s">
        <v>46</v>
      </c>
      <c r="C219" s="3" t="s">
        <v>282</v>
      </c>
      <c r="D219" s="94" t="s">
        <v>283</v>
      </c>
      <c r="E219" s="94"/>
      <c r="F219" s="3" t="s">
        <v>93</v>
      </c>
      <c r="G219" s="25">
        <v>539.34</v>
      </c>
      <c r="H219" s="45">
        <v>0</v>
      </c>
    </row>
    <row r="220" spans="1:8" x14ac:dyDescent="0.25">
      <c r="A220" s="54"/>
      <c r="D220" s="55" t="s">
        <v>2698</v>
      </c>
      <c r="E220" s="171" t="s">
        <v>46</v>
      </c>
      <c r="F220" s="171"/>
      <c r="G220" s="56">
        <v>36.590000000000003</v>
      </c>
      <c r="H220" s="57"/>
    </row>
    <row r="221" spans="1:8" x14ac:dyDescent="0.25">
      <c r="A221" s="2" t="s">
        <v>46</v>
      </c>
      <c r="B221" s="3" t="s">
        <v>46</v>
      </c>
      <c r="C221" s="3" t="s">
        <v>46</v>
      </c>
      <c r="D221" s="55" t="s">
        <v>2699</v>
      </c>
      <c r="E221" s="171" t="s">
        <v>46</v>
      </c>
      <c r="F221" s="171"/>
      <c r="G221" s="56">
        <v>395.29</v>
      </c>
      <c r="H221" s="26" t="s">
        <v>46</v>
      </c>
    </row>
    <row r="222" spans="1:8" x14ac:dyDescent="0.25">
      <c r="A222" s="2" t="s">
        <v>46</v>
      </c>
      <c r="B222" s="3" t="s">
        <v>46</v>
      </c>
      <c r="C222" s="3" t="s">
        <v>46</v>
      </c>
      <c r="D222" s="55" t="s">
        <v>2697</v>
      </c>
      <c r="E222" s="171" t="s">
        <v>46</v>
      </c>
      <c r="F222" s="171"/>
      <c r="G222" s="56">
        <v>107.46</v>
      </c>
      <c r="H222" s="26" t="s">
        <v>46</v>
      </c>
    </row>
    <row r="223" spans="1:8" x14ac:dyDescent="0.25">
      <c r="A223" s="58" t="s">
        <v>46</v>
      </c>
      <c r="B223" s="29" t="s">
        <v>46</v>
      </c>
      <c r="C223" s="29" t="s">
        <v>257</v>
      </c>
      <c r="D223" s="151" t="s">
        <v>284</v>
      </c>
      <c r="E223" s="151"/>
      <c r="F223" s="29" t="s">
        <v>46</v>
      </c>
      <c r="G223" s="11" t="s">
        <v>46</v>
      </c>
      <c r="H223" s="31" t="s">
        <v>46</v>
      </c>
    </row>
    <row r="224" spans="1:8" x14ac:dyDescent="0.25">
      <c r="A224" s="2" t="s">
        <v>285</v>
      </c>
      <c r="B224" s="3" t="s">
        <v>46</v>
      </c>
      <c r="C224" s="3" t="s">
        <v>286</v>
      </c>
      <c r="D224" s="94" t="s">
        <v>287</v>
      </c>
      <c r="E224" s="94"/>
      <c r="F224" s="3" t="s">
        <v>131</v>
      </c>
      <c r="G224" s="25">
        <v>5.0999999999999996</v>
      </c>
      <c r="H224" s="45">
        <v>0</v>
      </c>
    </row>
    <row r="225" spans="1:8" x14ac:dyDescent="0.25">
      <c r="A225" s="54"/>
      <c r="D225" s="55" t="s">
        <v>2700</v>
      </c>
      <c r="E225" s="171" t="s">
        <v>46</v>
      </c>
      <c r="F225" s="171"/>
      <c r="G225" s="56">
        <v>5.0999999999999996</v>
      </c>
      <c r="H225" s="57"/>
    </row>
    <row r="226" spans="1:8" x14ac:dyDescent="0.25">
      <c r="A226" s="2" t="s">
        <v>289</v>
      </c>
      <c r="B226" s="3" t="s">
        <v>46</v>
      </c>
      <c r="C226" s="3" t="s">
        <v>290</v>
      </c>
      <c r="D226" s="94" t="s">
        <v>291</v>
      </c>
      <c r="E226" s="94"/>
      <c r="F226" s="3" t="s">
        <v>131</v>
      </c>
      <c r="G226" s="25">
        <v>1.5</v>
      </c>
      <c r="H226" s="45">
        <v>0</v>
      </c>
    </row>
    <row r="227" spans="1:8" x14ac:dyDescent="0.25">
      <c r="A227" s="54"/>
      <c r="D227" s="55" t="s">
        <v>2701</v>
      </c>
      <c r="E227" s="171" t="s">
        <v>46</v>
      </c>
      <c r="F227" s="171"/>
      <c r="G227" s="56">
        <v>1.5</v>
      </c>
      <c r="H227" s="57"/>
    </row>
    <row r="228" spans="1:8" x14ac:dyDescent="0.25">
      <c r="A228" s="2" t="s">
        <v>292</v>
      </c>
      <c r="B228" s="3" t="s">
        <v>46</v>
      </c>
      <c r="C228" s="3" t="s">
        <v>293</v>
      </c>
      <c r="D228" s="94" t="s">
        <v>294</v>
      </c>
      <c r="E228" s="94"/>
      <c r="F228" s="3" t="s">
        <v>131</v>
      </c>
      <c r="G228" s="25">
        <v>3.6</v>
      </c>
      <c r="H228" s="45">
        <v>0</v>
      </c>
    </row>
    <row r="229" spans="1:8" x14ac:dyDescent="0.25">
      <c r="A229" s="54"/>
      <c r="D229" s="55" t="s">
        <v>2702</v>
      </c>
      <c r="E229" s="171" t="s">
        <v>46</v>
      </c>
      <c r="F229" s="171"/>
      <c r="G229" s="56">
        <v>3.6</v>
      </c>
      <c r="H229" s="57"/>
    </row>
    <row r="230" spans="1:8" x14ac:dyDescent="0.25">
      <c r="A230" s="2" t="s">
        <v>295</v>
      </c>
      <c r="B230" s="3" t="s">
        <v>46</v>
      </c>
      <c r="C230" s="3" t="s">
        <v>296</v>
      </c>
      <c r="D230" s="94" t="s">
        <v>297</v>
      </c>
      <c r="E230" s="94"/>
      <c r="F230" s="3" t="s">
        <v>52</v>
      </c>
      <c r="G230" s="25">
        <v>8</v>
      </c>
      <c r="H230" s="45">
        <v>0</v>
      </c>
    </row>
    <row r="231" spans="1:8" x14ac:dyDescent="0.25">
      <c r="A231" s="54"/>
      <c r="D231" s="55" t="s">
        <v>2703</v>
      </c>
      <c r="E231" s="171" t="s">
        <v>46</v>
      </c>
      <c r="F231" s="171"/>
      <c r="G231" s="56">
        <v>8</v>
      </c>
      <c r="H231" s="57"/>
    </row>
    <row r="232" spans="1:8" x14ac:dyDescent="0.25">
      <c r="A232" s="58" t="s">
        <v>46</v>
      </c>
      <c r="B232" s="29" t="s">
        <v>46</v>
      </c>
      <c r="C232" s="29" t="s">
        <v>298</v>
      </c>
      <c r="D232" s="151" t="s">
        <v>299</v>
      </c>
      <c r="E232" s="151"/>
      <c r="F232" s="29" t="s">
        <v>46</v>
      </c>
      <c r="G232" s="11" t="s">
        <v>46</v>
      </c>
      <c r="H232" s="31" t="s">
        <v>46</v>
      </c>
    </row>
    <row r="233" spans="1:8" x14ac:dyDescent="0.25">
      <c r="A233" s="2" t="s">
        <v>300</v>
      </c>
      <c r="B233" s="3" t="s">
        <v>46</v>
      </c>
      <c r="C233" s="3" t="s">
        <v>301</v>
      </c>
      <c r="D233" s="94" t="s">
        <v>302</v>
      </c>
      <c r="E233" s="94"/>
      <c r="F233" s="3" t="s">
        <v>303</v>
      </c>
      <c r="G233" s="25">
        <v>100</v>
      </c>
      <c r="H233" s="45">
        <v>0</v>
      </c>
    </row>
    <row r="234" spans="1:8" x14ac:dyDescent="0.25">
      <c r="A234" s="54"/>
      <c r="D234" s="55" t="s">
        <v>381</v>
      </c>
      <c r="E234" s="171" t="s">
        <v>46</v>
      </c>
      <c r="F234" s="171"/>
      <c r="G234" s="56">
        <v>100</v>
      </c>
      <c r="H234" s="57"/>
    </row>
    <row r="235" spans="1:8" x14ac:dyDescent="0.25">
      <c r="A235" s="2" t="s">
        <v>306</v>
      </c>
      <c r="B235" s="3" t="s">
        <v>46</v>
      </c>
      <c r="C235" s="3" t="s">
        <v>307</v>
      </c>
      <c r="D235" s="94" t="s">
        <v>308</v>
      </c>
      <c r="E235" s="94"/>
      <c r="F235" s="3" t="s">
        <v>303</v>
      </c>
      <c r="G235" s="25">
        <v>150</v>
      </c>
      <c r="H235" s="45">
        <v>0</v>
      </c>
    </row>
    <row r="236" spans="1:8" x14ac:dyDescent="0.25">
      <c r="A236" s="54"/>
      <c r="D236" s="55" t="s">
        <v>541</v>
      </c>
      <c r="E236" s="171" t="s">
        <v>46</v>
      </c>
      <c r="F236" s="171"/>
      <c r="G236" s="56">
        <v>150</v>
      </c>
      <c r="H236" s="57"/>
    </row>
    <row r="237" spans="1:8" x14ac:dyDescent="0.25">
      <c r="A237" s="2" t="s">
        <v>309</v>
      </c>
      <c r="B237" s="3" t="s">
        <v>46</v>
      </c>
      <c r="C237" s="3" t="s">
        <v>310</v>
      </c>
      <c r="D237" s="94" t="s">
        <v>311</v>
      </c>
      <c r="E237" s="94"/>
      <c r="F237" s="3" t="s">
        <v>303</v>
      </c>
      <c r="G237" s="25">
        <v>50</v>
      </c>
      <c r="H237" s="45">
        <v>0</v>
      </c>
    </row>
    <row r="238" spans="1:8" x14ac:dyDescent="0.25">
      <c r="A238" s="54"/>
      <c r="D238" s="55" t="s">
        <v>211</v>
      </c>
      <c r="E238" s="171" t="s">
        <v>46</v>
      </c>
      <c r="F238" s="171"/>
      <c r="G238" s="56">
        <v>50</v>
      </c>
      <c r="H238" s="57"/>
    </row>
    <row r="239" spans="1:8" x14ac:dyDescent="0.25">
      <c r="A239" s="2" t="s">
        <v>312</v>
      </c>
      <c r="B239" s="3" t="s">
        <v>46</v>
      </c>
      <c r="C239" s="3" t="s">
        <v>313</v>
      </c>
      <c r="D239" s="94" t="s">
        <v>314</v>
      </c>
      <c r="E239" s="94"/>
      <c r="F239" s="3" t="s">
        <v>303</v>
      </c>
      <c r="G239" s="25">
        <v>100</v>
      </c>
      <c r="H239" s="45">
        <v>0</v>
      </c>
    </row>
    <row r="240" spans="1:8" x14ac:dyDescent="0.25">
      <c r="A240" s="54"/>
      <c r="D240" s="55" t="s">
        <v>381</v>
      </c>
      <c r="E240" s="171" t="s">
        <v>46</v>
      </c>
      <c r="F240" s="171"/>
      <c r="G240" s="56">
        <v>100</v>
      </c>
      <c r="H240" s="57"/>
    </row>
    <row r="241" spans="1:8" x14ac:dyDescent="0.25">
      <c r="A241" s="2" t="s">
        <v>315</v>
      </c>
      <c r="B241" s="3" t="s">
        <v>46</v>
      </c>
      <c r="C241" s="3" t="s">
        <v>316</v>
      </c>
      <c r="D241" s="94" t="s">
        <v>317</v>
      </c>
      <c r="E241" s="94"/>
      <c r="F241" s="3" t="s">
        <v>303</v>
      </c>
      <c r="G241" s="25">
        <v>100</v>
      </c>
      <c r="H241" s="45">
        <v>0</v>
      </c>
    </row>
    <row r="242" spans="1:8" x14ac:dyDescent="0.25">
      <c r="A242" s="54"/>
      <c r="D242" s="55" t="s">
        <v>2704</v>
      </c>
      <c r="E242" s="171" t="s">
        <v>46</v>
      </c>
      <c r="F242" s="171"/>
      <c r="G242" s="56">
        <v>100</v>
      </c>
      <c r="H242" s="57"/>
    </row>
    <row r="243" spans="1:8" x14ac:dyDescent="0.25">
      <c r="A243" s="58" t="s">
        <v>46</v>
      </c>
      <c r="B243" s="29" t="s">
        <v>46</v>
      </c>
      <c r="C243" s="29" t="s">
        <v>318</v>
      </c>
      <c r="D243" s="151" t="s">
        <v>319</v>
      </c>
      <c r="E243" s="151"/>
      <c r="F243" s="29" t="s">
        <v>46</v>
      </c>
      <c r="G243" s="11" t="s">
        <v>46</v>
      </c>
      <c r="H243" s="31" t="s">
        <v>46</v>
      </c>
    </row>
    <row r="244" spans="1:8" x14ac:dyDescent="0.25">
      <c r="A244" s="2" t="s">
        <v>320</v>
      </c>
      <c r="B244" s="3" t="s">
        <v>46</v>
      </c>
      <c r="C244" s="3" t="s">
        <v>321</v>
      </c>
      <c r="D244" s="94" t="s">
        <v>322</v>
      </c>
      <c r="E244" s="94"/>
      <c r="F244" s="3" t="s">
        <v>93</v>
      </c>
      <c r="G244" s="25">
        <v>645</v>
      </c>
      <c r="H244" s="45">
        <v>0</v>
      </c>
    </row>
    <row r="245" spans="1:8" x14ac:dyDescent="0.25">
      <c r="A245" s="54"/>
      <c r="D245" s="55" t="s">
        <v>2705</v>
      </c>
      <c r="E245" s="171" t="s">
        <v>46</v>
      </c>
      <c r="F245" s="171"/>
      <c r="G245" s="56">
        <v>645</v>
      </c>
      <c r="H245" s="57"/>
    </row>
    <row r="246" spans="1:8" x14ac:dyDescent="0.25">
      <c r="A246" s="2" t="s">
        <v>324</v>
      </c>
      <c r="B246" s="3" t="s">
        <v>46</v>
      </c>
      <c r="C246" s="3" t="s">
        <v>325</v>
      </c>
      <c r="D246" s="94" t="s">
        <v>326</v>
      </c>
      <c r="E246" s="94"/>
      <c r="F246" s="3" t="s">
        <v>303</v>
      </c>
      <c r="G246" s="25">
        <v>20</v>
      </c>
      <c r="H246" s="45">
        <v>0</v>
      </c>
    </row>
    <row r="247" spans="1:8" x14ac:dyDescent="0.25">
      <c r="A247" s="54"/>
      <c r="D247" s="55" t="s">
        <v>119</v>
      </c>
      <c r="E247" s="171" t="s">
        <v>46</v>
      </c>
      <c r="F247" s="171"/>
      <c r="G247" s="56">
        <v>20</v>
      </c>
      <c r="H247" s="57"/>
    </row>
    <row r="248" spans="1:8" x14ac:dyDescent="0.25">
      <c r="A248" s="58" t="s">
        <v>46</v>
      </c>
      <c r="B248" s="29" t="s">
        <v>46</v>
      </c>
      <c r="C248" s="29" t="s">
        <v>327</v>
      </c>
      <c r="D248" s="151" t="s">
        <v>328</v>
      </c>
      <c r="E248" s="151"/>
      <c r="F248" s="29" t="s">
        <v>46</v>
      </c>
      <c r="G248" s="11" t="s">
        <v>46</v>
      </c>
      <c r="H248" s="31" t="s">
        <v>46</v>
      </c>
    </row>
    <row r="249" spans="1:8" x14ac:dyDescent="0.25">
      <c r="A249" s="2" t="s">
        <v>329</v>
      </c>
      <c r="B249" s="3" t="s">
        <v>46</v>
      </c>
      <c r="C249" s="3" t="s">
        <v>330</v>
      </c>
      <c r="D249" s="94" t="s">
        <v>331</v>
      </c>
      <c r="E249" s="94"/>
      <c r="F249" s="3" t="s">
        <v>93</v>
      </c>
      <c r="G249" s="25">
        <v>655.48</v>
      </c>
      <c r="H249" s="45">
        <v>0</v>
      </c>
    </row>
    <row r="250" spans="1:8" x14ac:dyDescent="0.25">
      <c r="A250" s="54"/>
      <c r="D250" s="55" t="s">
        <v>2696</v>
      </c>
      <c r="E250" s="171" t="s">
        <v>46</v>
      </c>
      <c r="F250" s="171"/>
      <c r="G250" s="56">
        <v>431.88</v>
      </c>
      <c r="H250" s="57"/>
    </row>
    <row r="251" spans="1:8" x14ac:dyDescent="0.25">
      <c r="A251" s="2" t="s">
        <v>46</v>
      </c>
      <c r="B251" s="3" t="s">
        <v>46</v>
      </c>
      <c r="C251" s="3" t="s">
        <v>46</v>
      </c>
      <c r="D251" s="55" t="s">
        <v>2706</v>
      </c>
      <c r="E251" s="171" t="s">
        <v>46</v>
      </c>
      <c r="F251" s="171"/>
      <c r="G251" s="56">
        <v>77.89</v>
      </c>
      <c r="H251" s="26" t="s">
        <v>46</v>
      </c>
    </row>
    <row r="252" spans="1:8" x14ac:dyDescent="0.25">
      <c r="A252" s="2" t="s">
        <v>46</v>
      </c>
      <c r="B252" s="3" t="s">
        <v>46</v>
      </c>
      <c r="C252" s="3" t="s">
        <v>46</v>
      </c>
      <c r="D252" s="55" t="s">
        <v>2707</v>
      </c>
      <c r="E252" s="171" t="s">
        <v>46</v>
      </c>
      <c r="F252" s="171"/>
      <c r="G252" s="56">
        <v>145.71</v>
      </c>
      <c r="H252" s="26" t="s">
        <v>46</v>
      </c>
    </row>
    <row r="253" spans="1:8" x14ac:dyDescent="0.25">
      <c r="A253" s="2" t="s">
        <v>333</v>
      </c>
      <c r="B253" s="3" t="s">
        <v>46</v>
      </c>
      <c r="C253" s="3" t="s">
        <v>334</v>
      </c>
      <c r="D253" s="94" t="s">
        <v>335</v>
      </c>
      <c r="E253" s="94"/>
      <c r="F253" s="3" t="s">
        <v>52</v>
      </c>
      <c r="G253" s="25">
        <v>4</v>
      </c>
      <c r="H253" s="45">
        <v>0</v>
      </c>
    </row>
    <row r="254" spans="1:8" x14ac:dyDescent="0.25">
      <c r="A254" s="54"/>
      <c r="D254" s="55" t="s">
        <v>65</v>
      </c>
      <c r="E254" s="171" t="s">
        <v>46</v>
      </c>
      <c r="F254" s="171"/>
      <c r="G254" s="56">
        <v>4</v>
      </c>
      <c r="H254" s="57"/>
    </row>
    <row r="255" spans="1:8" x14ac:dyDescent="0.25">
      <c r="A255" s="2" t="s">
        <v>336</v>
      </c>
      <c r="B255" s="3" t="s">
        <v>46</v>
      </c>
      <c r="C255" s="3" t="s">
        <v>337</v>
      </c>
      <c r="D255" s="94" t="s">
        <v>338</v>
      </c>
      <c r="E255" s="94"/>
      <c r="F255" s="3" t="s">
        <v>52</v>
      </c>
      <c r="G255" s="25">
        <v>4</v>
      </c>
      <c r="H255" s="45">
        <v>0</v>
      </c>
    </row>
    <row r="256" spans="1:8" x14ac:dyDescent="0.25">
      <c r="A256" s="54"/>
      <c r="D256" s="55" t="s">
        <v>65</v>
      </c>
      <c r="E256" s="171" t="s">
        <v>46</v>
      </c>
      <c r="F256" s="171"/>
      <c r="G256" s="56">
        <v>4</v>
      </c>
      <c r="H256" s="57"/>
    </row>
    <row r="257" spans="1:8" x14ac:dyDescent="0.25">
      <c r="A257" s="2" t="s">
        <v>339</v>
      </c>
      <c r="B257" s="3" t="s">
        <v>46</v>
      </c>
      <c r="C257" s="3" t="s">
        <v>340</v>
      </c>
      <c r="D257" s="94" t="s">
        <v>341</v>
      </c>
      <c r="E257" s="94"/>
      <c r="F257" s="3" t="s">
        <v>342</v>
      </c>
      <c r="G257" s="25">
        <v>50</v>
      </c>
      <c r="H257" s="45">
        <v>0</v>
      </c>
    </row>
    <row r="258" spans="1:8" x14ac:dyDescent="0.25">
      <c r="A258" s="54"/>
      <c r="D258" s="55" t="s">
        <v>211</v>
      </c>
      <c r="E258" s="171" t="s">
        <v>46</v>
      </c>
      <c r="F258" s="171"/>
      <c r="G258" s="56">
        <v>50</v>
      </c>
      <c r="H258" s="57"/>
    </row>
    <row r="259" spans="1:8" x14ac:dyDescent="0.25">
      <c r="A259" s="2" t="s">
        <v>343</v>
      </c>
      <c r="B259" s="3" t="s">
        <v>46</v>
      </c>
      <c r="C259" s="3" t="s">
        <v>344</v>
      </c>
      <c r="D259" s="94" t="s">
        <v>345</v>
      </c>
      <c r="E259" s="94"/>
      <c r="F259" s="3" t="s">
        <v>342</v>
      </c>
      <c r="G259" s="25">
        <v>1</v>
      </c>
      <c r="H259" s="45">
        <v>0</v>
      </c>
    </row>
    <row r="260" spans="1:8" x14ac:dyDescent="0.25">
      <c r="A260" s="54"/>
      <c r="D260" s="55" t="s">
        <v>49</v>
      </c>
      <c r="E260" s="171" t="s">
        <v>46</v>
      </c>
      <c r="F260" s="171"/>
      <c r="G260" s="56">
        <v>1</v>
      </c>
      <c r="H260" s="57"/>
    </row>
    <row r="261" spans="1:8" x14ac:dyDescent="0.25">
      <c r="A261" s="2" t="s">
        <v>346</v>
      </c>
      <c r="B261" s="3" t="s">
        <v>46</v>
      </c>
      <c r="C261" s="3" t="s">
        <v>347</v>
      </c>
      <c r="D261" s="94" t="s">
        <v>348</v>
      </c>
      <c r="E261" s="94"/>
      <c r="F261" s="3" t="s">
        <v>52</v>
      </c>
      <c r="G261" s="25">
        <v>1</v>
      </c>
      <c r="H261" s="45">
        <v>0</v>
      </c>
    </row>
    <row r="262" spans="1:8" x14ac:dyDescent="0.25">
      <c r="A262" s="54"/>
      <c r="D262" s="55" t="s">
        <v>49</v>
      </c>
      <c r="E262" s="171" t="s">
        <v>46</v>
      </c>
      <c r="F262" s="171"/>
      <c r="G262" s="56">
        <v>1</v>
      </c>
      <c r="H262" s="57"/>
    </row>
    <row r="263" spans="1:8" x14ac:dyDescent="0.25">
      <c r="A263" s="58" t="s">
        <v>46</v>
      </c>
      <c r="B263" s="29" t="s">
        <v>46</v>
      </c>
      <c r="C263" s="29" t="s">
        <v>349</v>
      </c>
      <c r="D263" s="151" t="s">
        <v>350</v>
      </c>
      <c r="E263" s="151"/>
      <c r="F263" s="29" t="s">
        <v>46</v>
      </c>
      <c r="G263" s="11" t="s">
        <v>46</v>
      </c>
      <c r="H263" s="31" t="s">
        <v>46</v>
      </c>
    </row>
    <row r="264" spans="1:8" x14ac:dyDescent="0.25">
      <c r="A264" s="2" t="s">
        <v>351</v>
      </c>
      <c r="B264" s="3" t="s">
        <v>46</v>
      </c>
      <c r="C264" s="3" t="s">
        <v>352</v>
      </c>
      <c r="D264" s="94" t="s">
        <v>353</v>
      </c>
      <c r="E264" s="94"/>
      <c r="F264" s="3" t="s">
        <v>61</v>
      </c>
      <c r="G264" s="25">
        <v>0.63700000000000001</v>
      </c>
      <c r="H264" s="45">
        <v>0</v>
      </c>
    </row>
    <row r="265" spans="1:8" x14ac:dyDescent="0.25">
      <c r="A265" s="54"/>
      <c r="D265" s="55" t="s">
        <v>2708</v>
      </c>
      <c r="E265" s="171" t="s">
        <v>46</v>
      </c>
      <c r="F265" s="171"/>
      <c r="G265" s="56">
        <v>0.63700000000000001</v>
      </c>
      <c r="H265" s="57"/>
    </row>
    <row r="266" spans="1:8" x14ac:dyDescent="0.25">
      <c r="A266" s="2" t="s">
        <v>298</v>
      </c>
      <c r="B266" s="3" t="s">
        <v>46</v>
      </c>
      <c r="C266" s="3" t="s">
        <v>355</v>
      </c>
      <c r="D266" s="94" t="s">
        <v>356</v>
      </c>
      <c r="E266" s="94"/>
      <c r="F266" s="3" t="s">
        <v>93</v>
      </c>
      <c r="G266" s="25">
        <v>201.95599999999999</v>
      </c>
      <c r="H266" s="45">
        <v>0</v>
      </c>
    </row>
    <row r="267" spans="1:8" x14ac:dyDescent="0.25">
      <c r="A267" s="54"/>
      <c r="D267" s="55" t="s">
        <v>2709</v>
      </c>
      <c r="E267" s="171" t="s">
        <v>46</v>
      </c>
      <c r="F267" s="171"/>
      <c r="G267" s="56">
        <v>54.857999999999997</v>
      </c>
      <c r="H267" s="57"/>
    </row>
    <row r="268" spans="1:8" x14ac:dyDescent="0.25">
      <c r="A268" s="2" t="s">
        <v>46</v>
      </c>
      <c r="B268" s="3" t="s">
        <v>46</v>
      </c>
      <c r="C268" s="3" t="s">
        <v>46</v>
      </c>
      <c r="D268" s="55" t="s">
        <v>2710</v>
      </c>
      <c r="E268" s="171" t="s">
        <v>46</v>
      </c>
      <c r="F268" s="171"/>
      <c r="G268" s="56">
        <v>109.11199999999999</v>
      </c>
      <c r="H268" s="26" t="s">
        <v>46</v>
      </c>
    </row>
    <row r="269" spans="1:8" x14ac:dyDescent="0.25">
      <c r="A269" s="2" t="s">
        <v>46</v>
      </c>
      <c r="B269" s="3" t="s">
        <v>46</v>
      </c>
      <c r="C269" s="3" t="s">
        <v>46</v>
      </c>
      <c r="D269" s="55" t="s">
        <v>2711</v>
      </c>
      <c r="E269" s="171" t="s">
        <v>46</v>
      </c>
      <c r="F269" s="171"/>
      <c r="G269" s="56">
        <v>28.943999999999999</v>
      </c>
      <c r="H269" s="26" t="s">
        <v>46</v>
      </c>
    </row>
    <row r="270" spans="1:8" x14ac:dyDescent="0.25">
      <c r="A270" s="2" t="s">
        <v>46</v>
      </c>
      <c r="B270" s="3" t="s">
        <v>46</v>
      </c>
      <c r="C270" s="3" t="s">
        <v>46</v>
      </c>
      <c r="D270" s="55" t="s">
        <v>2712</v>
      </c>
      <c r="E270" s="171" t="s">
        <v>46</v>
      </c>
      <c r="F270" s="171"/>
      <c r="G270" s="56">
        <v>9.0419999999999998</v>
      </c>
      <c r="H270" s="26" t="s">
        <v>46</v>
      </c>
    </row>
    <row r="271" spans="1:8" x14ac:dyDescent="0.25">
      <c r="A271" s="2" t="s">
        <v>357</v>
      </c>
      <c r="B271" s="3" t="s">
        <v>46</v>
      </c>
      <c r="C271" s="3" t="s">
        <v>358</v>
      </c>
      <c r="D271" s="94" t="s">
        <v>359</v>
      </c>
      <c r="E271" s="94"/>
      <c r="F271" s="3" t="s">
        <v>93</v>
      </c>
      <c r="G271" s="25">
        <v>14.478999999999999</v>
      </c>
      <c r="H271" s="45">
        <v>0</v>
      </c>
    </row>
    <row r="272" spans="1:8" x14ac:dyDescent="0.25">
      <c r="A272" s="54"/>
      <c r="D272" s="55" t="s">
        <v>2713</v>
      </c>
      <c r="E272" s="171" t="s">
        <v>46</v>
      </c>
      <c r="F272" s="171"/>
      <c r="G272" s="56">
        <v>14.478999999999999</v>
      </c>
      <c r="H272" s="57"/>
    </row>
    <row r="273" spans="1:8" x14ac:dyDescent="0.25">
      <c r="A273" s="2" t="s">
        <v>360</v>
      </c>
      <c r="B273" s="3" t="s">
        <v>46</v>
      </c>
      <c r="C273" s="3" t="s">
        <v>361</v>
      </c>
      <c r="D273" s="94" t="s">
        <v>362</v>
      </c>
      <c r="E273" s="94"/>
      <c r="F273" s="3" t="s">
        <v>93</v>
      </c>
      <c r="G273" s="25">
        <v>22.064</v>
      </c>
      <c r="H273" s="45">
        <v>0</v>
      </c>
    </row>
    <row r="274" spans="1:8" x14ac:dyDescent="0.25">
      <c r="A274" s="54"/>
      <c r="D274" s="55" t="s">
        <v>2714</v>
      </c>
      <c r="E274" s="171" t="s">
        <v>46</v>
      </c>
      <c r="F274" s="171"/>
      <c r="G274" s="56">
        <v>22.064</v>
      </c>
      <c r="H274" s="57"/>
    </row>
    <row r="275" spans="1:8" x14ac:dyDescent="0.25">
      <c r="A275" s="2" t="s">
        <v>363</v>
      </c>
      <c r="B275" s="3" t="s">
        <v>46</v>
      </c>
      <c r="C275" s="3" t="s">
        <v>364</v>
      </c>
      <c r="D275" s="94" t="s">
        <v>365</v>
      </c>
      <c r="E275" s="94"/>
      <c r="F275" s="3" t="s">
        <v>93</v>
      </c>
      <c r="G275" s="25">
        <v>43.543999999999997</v>
      </c>
      <c r="H275" s="45">
        <v>0</v>
      </c>
    </row>
    <row r="276" spans="1:8" x14ac:dyDescent="0.25">
      <c r="A276" s="54"/>
      <c r="D276" s="55" t="s">
        <v>2715</v>
      </c>
      <c r="E276" s="171" t="s">
        <v>46</v>
      </c>
      <c r="F276" s="171"/>
      <c r="G276" s="56">
        <v>3.45</v>
      </c>
      <c r="H276" s="57"/>
    </row>
    <row r="277" spans="1:8" x14ac:dyDescent="0.25">
      <c r="A277" s="2" t="s">
        <v>46</v>
      </c>
      <c r="B277" s="3" t="s">
        <v>46</v>
      </c>
      <c r="C277" s="3" t="s">
        <v>46</v>
      </c>
      <c r="D277" s="55" t="s">
        <v>2716</v>
      </c>
      <c r="E277" s="171" t="s">
        <v>46</v>
      </c>
      <c r="F277" s="171"/>
      <c r="G277" s="56">
        <v>40.094000000000001</v>
      </c>
      <c r="H277" s="26" t="s">
        <v>46</v>
      </c>
    </row>
    <row r="278" spans="1:8" x14ac:dyDescent="0.25">
      <c r="A278" s="2" t="s">
        <v>318</v>
      </c>
      <c r="B278" s="3" t="s">
        <v>46</v>
      </c>
      <c r="C278" s="3" t="s">
        <v>366</v>
      </c>
      <c r="D278" s="94" t="s">
        <v>367</v>
      </c>
      <c r="E278" s="94"/>
      <c r="F278" s="3" t="s">
        <v>93</v>
      </c>
      <c r="G278" s="25">
        <v>43.543999999999997</v>
      </c>
      <c r="H278" s="45">
        <v>0</v>
      </c>
    </row>
    <row r="279" spans="1:8" x14ac:dyDescent="0.25">
      <c r="A279" s="54"/>
      <c r="D279" s="55" t="s">
        <v>2717</v>
      </c>
      <c r="E279" s="171" t="s">
        <v>46</v>
      </c>
      <c r="F279" s="171"/>
      <c r="G279" s="56">
        <v>43.543999999999997</v>
      </c>
      <c r="H279" s="57"/>
    </row>
    <row r="280" spans="1:8" x14ac:dyDescent="0.25">
      <c r="A280" s="2" t="s">
        <v>327</v>
      </c>
      <c r="B280" s="3" t="s">
        <v>46</v>
      </c>
      <c r="C280" s="3" t="s">
        <v>368</v>
      </c>
      <c r="D280" s="94" t="s">
        <v>369</v>
      </c>
      <c r="E280" s="94"/>
      <c r="F280" s="3" t="s">
        <v>93</v>
      </c>
      <c r="G280" s="25">
        <v>237.042</v>
      </c>
      <c r="H280" s="45">
        <v>0</v>
      </c>
    </row>
    <row r="281" spans="1:8" x14ac:dyDescent="0.25">
      <c r="A281" s="54"/>
      <c r="D281" s="55" t="s">
        <v>2718</v>
      </c>
      <c r="E281" s="171" t="s">
        <v>46</v>
      </c>
      <c r="F281" s="171"/>
      <c r="G281" s="56">
        <v>208.09800000000001</v>
      </c>
      <c r="H281" s="57"/>
    </row>
    <row r="282" spans="1:8" x14ac:dyDescent="0.25">
      <c r="A282" s="2" t="s">
        <v>46</v>
      </c>
      <c r="B282" s="3" t="s">
        <v>46</v>
      </c>
      <c r="C282" s="3" t="s">
        <v>46</v>
      </c>
      <c r="D282" s="55" t="s">
        <v>2711</v>
      </c>
      <c r="E282" s="171" t="s">
        <v>46</v>
      </c>
      <c r="F282" s="171"/>
      <c r="G282" s="56">
        <v>28.943999999999999</v>
      </c>
      <c r="H282" s="26" t="s">
        <v>46</v>
      </c>
    </row>
    <row r="283" spans="1:8" x14ac:dyDescent="0.25">
      <c r="A283" s="2" t="s">
        <v>349</v>
      </c>
      <c r="B283" s="3" t="s">
        <v>46</v>
      </c>
      <c r="C283" s="3" t="s">
        <v>370</v>
      </c>
      <c r="D283" s="94" t="s">
        <v>371</v>
      </c>
      <c r="E283" s="94"/>
      <c r="F283" s="3" t="s">
        <v>93</v>
      </c>
      <c r="G283" s="25">
        <v>14.478999999999999</v>
      </c>
      <c r="H283" s="45">
        <v>0</v>
      </c>
    </row>
    <row r="284" spans="1:8" x14ac:dyDescent="0.25">
      <c r="A284" s="54"/>
      <c r="D284" s="55" t="s">
        <v>2719</v>
      </c>
      <c r="E284" s="171" t="s">
        <v>46</v>
      </c>
      <c r="F284" s="171"/>
      <c r="G284" s="56">
        <v>14.478999999999999</v>
      </c>
      <c r="H284" s="57"/>
    </row>
    <row r="285" spans="1:8" x14ac:dyDescent="0.25">
      <c r="A285" s="2" t="s">
        <v>372</v>
      </c>
      <c r="B285" s="3" t="s">
        <v>46</v>
      </c>
      <c r="C285" s="3" t="s">
        <v>373</v>
      </c>
      <c r="D285" s="94" t="s">
        <v>374</v>
      </c>
      <c r="E285" s="94"/>
      <c r="F285" s="3" t="s">
        <v>93</v>
      </c>
      <c r="G285" s="25">
        <v>126.56</v>
      </c>
      <c r="H285" s="45">
        <v>0</v>
      </c>
    </row>
    <row r="286" spans="1:8" x14ac:dyDescent="0.25">
      <c r="A286" s="54"/>
      <c r="D286" s="55" t="s">
        <v>2720</v>
      </c>
      <c r="E286" s="171" t="s">
        <v>46</v>
      </c>
      <c r="F286" s="171"/>
      <c r="G286" s="56">
        <v>56.81</v>
      </c>
      <c r="H286" s="57"/>
    </row>
    <row r="287" spans="1:8" x14ac:dyDescent="0.25">
      <c r="A287" s="2" t="s">
        <v>46</v>
      </c>
      <c r="B287" s="3" t="s">
        <v>46</v>
      </c>
      <c r="C287" s="3" t="s">
        <v>46</v>
      </c>
      <c r="D287" s="55" t="s">
        <v>2721</v>
      </c>
      <c r="E287" s="171" t="s">
        <v>46</v>
      </c>
      <c r="F287" s="171"/>
      <c r="G287" s="56">
        <v>69.75</v>
      </c>
      <c r="H287" s="26" t="s">
        <v>46</v>
      </c>
    </row>
    <row r="288" spans="1:8" x14ac:dyDescent="0.25">
      <c r="A288" s="2" t="s">
        <v>375</v>
      </c>
      <c r="B288" s="3" t="s">
        <v>46</v>
      </c>
      <c r="C288" s="3" t="s">
        <v>376</v>
      </c>
      <c r="D288" s="94" t="s">
        <v>377</v>
      </c>
      <c r="E288" s="94"/>
      <c r="F288" s="3" t="s">
        <v>93</v>
      </c>
      <c r="G288" s="25">
        <v>459.79199999999997</v>
      </c>
      <c r="H288" s="45">
        <v>0</v>
      </c>
    </row>
    <row r="289" spans="1:8" x14ac:dyDescent="0.25">
      <c r="A289" s="54"/>
      <c r="D289" s="55" t="s">
        <v>2722</v>
      </c>
      <c r="E289" s="171" t="s">
        <v>46</v>
      </c>
      <c r="F289" s="171"/>
      <c r="G289" s="56">
        <v>79.611999999999995</v>
      </c>
      <c r="H289" s="57"/>
    </row>
    <row r="290" spans="1:8" x14ac:dyDescent="0.25">
      <c r="A290" s="2" t="s">
        <v>46</v>
      </c>
      <c r="B290" s="3" t="s">
        <v>46</v>
      </c>
      <c r="C290" s="3" t="s">
        <v>46</v>
      </c>
      <c r="D290" s="55" t="s">
        <v>2723</v>
      </c>
      <c r="E290" s="171" t="s">
        <v>46</v>
      </c>
      <c r="F290" s="171"/>
      <c r="G290" s="56">
        <v>380.18</v>
      </c>
      <c r="H290" s="26" t="s">
        <v>46</v>
      </c>
    </row>
    <row r="291" spans="1:8" x14ac:dyDescent="0.25">
      <c r="A291" s="2" t="s">
        <v>378</v>
      </c>
      <c r="B291" s="3" t="s">
        <v>46</v>
      </c>
      <c r="C291" s="3" t="s">
        <v>379</v>
      </c>
      <c r="D291" s="94" t="s">
        <v>380</v>
      </c>
      <c r="E291" s="94"/>
      <c r="F291" s="3" t="s">
        <v>93</v>
      </c>
      <c r="G291" s="25">
        <v>524.51499999999999</v>
      </c>
      <c r="H291" s="45">
        <v>0</v>
      </c>
    </row>
    <row r="292" spans="1:8" x14ac:dyDescent="0.25">
      <c r="A292" s="54"/>
      <c r="D292" s="55" t="s">
        <v>2724</v>
      </c>
      <c r="E292" s="171" t="s">
        <v>46</v>
      </c>
      <c r="F292" s="171"/>
      <c r="G292" s="56">
        <v>524.51499999999999</v>
      </c>
      <c r="H292" s="57"/>
    </row>
    <row r="293" spans="1:8" x14ac:dyDescent="0.25">
      <c r="A293" s="2" t="s">
        <v>381</v>
      </c>
      <c r="B293" s="3" t="s">
        <v>46</v>
      </c>
      <c r="C293" s="3" t="s">
        <v>382</v>
      </c>
      <c r="D293" s="94" t="s">
        <v>383</v>
      </c>
      <c r="E293" s="94"/>
      <c r="F293" s="3" t="s">
        <v>93</v>
      </c>
      <c r="G293" s="25">
        <v>524.51499999999999</v>
      </c>
      <c r="H293" s="45">
        <v>0</v>
      </c>
    </row>
    <row r="294" spans="1:8" x14ac:dyDescent="0.25">
      <c r="A294" s="54"/>
      <c r="D294" s="55" t="s">
        <v>2724</v>
      </c>
      <c r="E294" s="171" t="s">
        <v>46</v>
      </c>
      <c r="F294" s="171"/>
      <c r="G294" s="56">
        <v>524.51499999999999</v>
      </c>
      <c r="H294" s="57"/>
    </row>
    <row r="295" spans="1:8" x14ac:dyDescent="0.25">
      <c r="A295" s="2" t="s">
        <v>384</v>
      </c>
      <c r="B295" s="3" t="s">
        <v>46</v>
      </c>
      <c r="C295" s="3" t="s">
        <v>385</v>
      </c>
      <c r="D295" s="94" t="s">
        <v>386</v>
      </c>
      <c r="E295" s="94"/>
      <c r="F295" s="3" t="s">
        <v>93</v>
      </c>
      <c r="G295" s="25">
        <v>66.489999999999995</v>
      </c>
      <c r="H295" s="45">
        <v>0</v>
      </c>
    </row>
    <row r="296" spans="1:8" x14ac:dyDescent="0.25">
      <c r="A296" s="54"/>
      <c r="D296" s="55" t="s">
        <v>2725</v>
      </c>
      <c r="E296" s="171" t="s">
        <v>46</v>
      </c>
      <c r="F296" s="171"/>
      <c r="G296" s="56">
        <v>66.489999999999995</v>
      </c>
      <c r="H296" s="57"/>
    </row>
    <row r="297" spans="1:8" x14ac:dyDescent="0.25">
      <c r="A297" s="2" t="s">
        <v>387</v>
      </c>
      <c r="B297" s="3" t="s">
        <v>46</v>
      </c>
      <c r="C297" s="3" t="s">
        <v>388</v>
      </c>
      <c r="D297" s="94" t="s">
        <v>389</v>
      </c>
      <c r="E297" s="94"/>
      <c r="F297" s="3" t="s">
        <v>93</v>
      </c>
      <c r="G297" s="25">
        <v>431.88</v>
      </c>
      <c r="H297" s="45">
        <v>0</v>
      </c>
    </row>
    <row r="298" spans="1:8" x14ac:dyDescent="0.25">
      <c r="A298" s="54"/>
      <c r="D298" s="55" t="s">
        <v>2696</v>
      </c>
      <c r="E298" s="171" t="s">
        <v>46</v>
      </c>
      <c r="F298" s="171"/>
      <c r="G298" s="56">
        <v>431.88</v>
      </c>
      <c r="H298" s="57"/>
    </row>
    <row r="299" spans="1:8" x14ac:dyDescent="0.25">
      <c r="A299" s="2" t="s">
        <v>390</v>
      </c>
      <c r="B299" s="3" t="s">
        <v>46</v>
      </c>
      <c r="C299" s="3" t="s">
        <v>391</v>
      </c>
      <c r="D299" s="94" t="s">
        <v>392</v>
      </c>
      <c r="E299" s="94"/>
      <c r="F299" s="3" t="s">
        <v>93</v>
      </c>
      <c r="G299" s="25">
        <v>67.209999999999994</v>
      </c>
      <c r="H299" s="45">
        <v>0</v>
      </c>
    </row>
    <row r="300" spans="1:8" x14ac:dyDescent="0.25">
      <c r="A300" s="54"/>
      <c r="D300" s="55" t="s">
        <v>2726</v>
      </c>
      <c r="E300" s="171" t="s">
        <v>46</v>
      </c>
      <c r="F300" s="171"/>
      <c r="G300" s="56">
        <v>39.409999999999997</v>
      </c>
      <c r="H300" s="57"/>
    </row>
    <row r="301" spans="1:8" x14ac:dyDescent="0.25">
      <c r="A301" s="2" t="s">
        <v>46</v>
      </c>
      <c r="B301" s="3" t="s">
        <v>46</v>
      </c>
      <c r="C301" s="3" t="s">
        <v>46</v>
      </c>
      <c r="D301" s="55" t="s">
        <v>2727</v>
      </c>
      <c r="E301" s="171" t="s">
        <v>46</v>
      </c>
      <c r="F301" s="171"/>
      <c r="G301" s="56">
        <v>27.8</v>
      </c>
      <c r="H301" s="26" t="s">
        <v>46</v>
      </c>
    </row>
    <row r="302" spans="1:8" x14ac:dyDescent="0.25">
      <c r="A302" s="2" t="s">
        <v>393</v>
      </c>
      <c r="B302" s="3" t="s">
        <v>46</v>
      </c>
      <c r="C302" s="3" t="s">
        <v>394</v>
      </c>
      <c r="D302" s="94" t="s">
        <v>395</v>
      </c>
      <c r="E302" s="94"/>
      <c r="F302" s="3" t="s">
        <v>52</v>
      </c>
      <c r="G302" s="25">
        <v>1</v>
      </c>
      <c r="H302" s="45">
        <v>0</v>
      </c>
    </row>
    <row r="303" spans="1:8" x14ac:dyDescent="0.25">
      <c r="A303" s="54"/>
      <c r="D303" s="55" t="s">
        <v>49</v>
      </c>
      <c r="E303" s="171" t="s">
        <v>46</v>
      </c>
      <c r="F303" s="171"/>
      <c r="G303" s="56">
        <v>1</v>
      </c>
      <c r="H303" s="57"/>
    </row>
    <row r="304" spans="1:8" x14ac:dyDescent="0.25">
      <c r="A304" s="2" t="s">
        <v>396</v>
      </c>
      <c r="B304" s="3" t="s">
        <v>46</v>
      </c>
      <c r="C304" s="3" t="s">
        <v>397</v>
      </c>
      <c r="D304" s="94" t="s">
        <v>398</v>
      </c>
      <c r="E304" s="94"/>
      <c r="F304" s="3" t="s">
        <v>131</v>
      </c>
      <c r="G304" s="25">
        <v>151.01</v>
      </c>
      <c r="H304" s="45">
        <v>0</v>
      </c>
    </row>
    <row r="305" spans="1:8" x14ac:dyDescent="0.25">
      <c r="A305" s="54"/>
      <c r="D305" s="55" t="s">
        <v>2728</v>
      </c>
      <c r="E305" s="171" t="s">
        <v>46</v>
      </c>
      <c r="F305" s="171"/>
      <c r="G305" s="56">
        <v>141.21</v>
      </c>
      <c r="H305" s="57"/>
    </row>
    <row r="306" spans="1:8" x14ac:dyDescent="0.25">
      <c r="A306" s="2" t="s">
        <v>46</v>
      </c>
      <c r="B306" s="3" t="s">
        <v>46</v>
      </c>
      <c r="C306" s="3" t="s">
        <v>46</v>
      </c>
      <c r="D306" s="55" t="s">
        <v>2729</v>
      </c>
      <c r="E306" s="171" t="s">
        <v>46</v>
      </c>
      <c r="F306" s="171"/>
      <c r="G306" s="56">
        <v>9.8000000000000007</v>
      </c>
      <c r="H306" s="26" t="s">
        <v>46</v>
      </c>
    </row>
    <row r="307" spans="1:8" x14ac:dyDescent="0.25">
      <c r="A307" s="2" t="s">
        <v>399</v>
      </c>
      <c r="B307" s="3" t="s">
        <v>46</v>
      </c>
      <c r="C307" s="3" t="s">
        <v>400</v>
      </c>
      <c r="D307" s="94" t="s">
        <v>401</v>
      </c>
      <c r="E307" s="94"/>
      <c r="F307" s="3" t="s">
        <v>93</v>
      </c>
      <c r="G307" s="25">
        <v>75.989000000000004</v>
      </c>
      <c r="H307" s="45">
        <v>0</v>
      </c>
    </row>
    <row r="308" spans="1:8" x14ac:dyDescent="0.25">
      <c r="A308" s="54"/>
      <c r="D308" s="55" t="s">
        <v>2730</v>
      </c>
      <c r="E308" s="171" t="s">
        <v>46</v>
      </c>
      <c r="F308" s="171"/>
      <c r="G308" s="56">
        <v>75.989000000000004</v>
      </c>
      <c r="H308" s="57"/>
    </row>
    <row r="309" spans="1:8" x14ac:dyDescent="0.25">
      <c r="A309" s="2" t="s">
        <v>402</v>
      </c>
      <c r="B309" s="3" t="s">
        <v>46</v>
      </c>
      <c r="C309" s="3" t="s">
        <v>403</v>
      </c>
      <c r="D309" s="94" t="s">
        <v>404</v>
      </c>
      <c r="E309" s="94"/>
      <c r="F309" s="3" t="s">
        <v>131</v>
      </c>
      <c r="G309" s="25">
        <v>54.73</v>
      </c>
      <c r="H309" s="45">
        <v>0</v>
      </c>
    </row>
    <row r="310" spans="1:8" x14ac:dyDescent="0.25">
      <c r="A310" s="54"/>
      <c r="D310" s="55" t="s">
        <v>2731</v>
      </c>
      <c r="E310" s="171" t="s">
        <v>46</v>
      </c>
      <c r="F310" s="171"/>
      <c r="G310" s="56">
        <v>33.08</v>
      </c>
      <c r="H310" s="57"/>
    </row>
    <row r="311" spans="1:8" x14ac:dyDescent="0.25">
      <c r="A311" s="2" t="s">
        <v>46</v>
      </c>
      <c r="B311" s="3" t="s">
        <v>46</v>
      </c>
      <c r="C311" s="3" t="s">
        <v>46</v>
      </c>
      <c r="D311" s="55" t="s">
        <v>2732</v>
      </c>
      <c r="E311" s="171" t="s">
        <v>46</v>
      </c>
      <c r="F311" s="171"/>
      <c r="G311" s="56">
        <v>21.65</v>
      </c>
      <c r="H311" s="26" t="s">
        <v>46</v>
      </c>
    </row>
    <row r="312" spans="1:8" x14ac:dyDescent="0.25">
      <c r="A312" s="2" t="s">
        <v>405</v>
      </c>
      <c r="B312" s="3" t="s">
        <v>46</v>
      </c>
      <c r="C312" s="3" t="s">
        <v>406</v>
      </c>
      <c r="D312" s="94" t="s">
        <v>407</v>
      </c>
      <c r="E312" s="94"/>
      <c r="F312" s="3" t="s">
        <v>52</v>
      </c>
      <c r="G312" s="25">
        <v>40</v>
      </c>
      <c r="H312" s="45">
        <v>0</v>
      </c>
    </row>
    <row r="313" spans="1:8" x14ac:dyDescent="0.25">
      <c r="A313" s="54"/>
      <c r="D313" s="55" t="s">
        <v>178</v>
      </c>
      <c r="E313" s="171" t="s">
        <v>46</v>
      </c>
      <c r="F313" s="171"/>
      <c r="G313" s="56">
        <v>40</v>
      </c>
      <c r="H313" s="57"/>
    </row>
    <row r="314" spans="1:8" x14ac:dyDescent="0.25">
      <c r="A314" s="2" t="s">
        <v>408</v>
      </c>
      <c r="B314" s="3" t="s">
        <v>46</v>
      </c>
      <c r="C314" s="3" t="s">
        <v>409</v>
      </c>
      <c r="D314" s="94" t="s">
        <v>410</v>
      </c>
      <c r="E314" s="94"/>
      <c r="F314" s="3" t="s">
        <v>52</v>
      </c>
      <c r="G314" s="25">
        <v>30</v>
      </c>
      <c r="H314" s="45">
        <v>0</v>
      </c>
    </row>
    <row r="315" spans="1:8" x14ac:dyDescent="0.25">
      <c r="A315" s="54"/>
      <c r="D315" s="55" t="s">
        <v>150</v>
      </c>
      <c r="E315" s="171" t="s">
        <v>46</v>
      </c>
      <c r="F315" s="171"/>
      <c r="G315" s="56">
        <v>30</v>
      </c>
      <c r="H315" s="57"/>
    </row>
    <row r="316" spans="1:8" x14ac:dyDescent="0.25">
      <c r="A316" s="2" t="s">
        <v>411</v>
      </c>
      <c r="B316" s="3" t="s">
        <v>46</v>
      </c>
      <c r="C316" s="3" t="s">
        <v>412</v>
      </c>
      <c r="D316" s="94" t="s">
        <v>413</v>
      </c>
      <c r="E316" s="94"/>
      <c r="F316" s="3" t="s">
        <v>52</v>
      </c>
      <c r="G316" s="25">
        <v>60</v>
      </c>
      <c r="H316" s="45">
        <v>0</v>
      </c>
    </row>
    <row r="317" spans="1:8" x14ac:dyDescent="0.25">
      <c r="A317" s="54"/>
      <c r="D317" s="55" t="s">
        <v>2733</v>
      </c>
      <c r="E317" s="171" t="s">
        <v>46</v>
      </c>
      <c r="F317" s="171"/>
      <c r="G317" s="56">
        <v>60</v>
      </c>
      <c r="H317" s="57"/>
    </row>
    <row r="318" spans="1:8" x14ac:dyDescent="0.25">
      <c r="A318" s="2" t="s">
        <v>414</v>
      </c>
      <c r="B318" s="3" t="s">
        <v>46</v>
      </c>
      <c r="C318" s="3" t="s">
        <v>415</v>
      </c>
      <c r="D318" s="94" t="s">
        <v>416</v>
      </c>
      <c r="E318" s="94"/>
      <c r="F318" s="3" t="s">
        <v>93</v>
      </c>
      <c r="G318" s="25">
        <v>11.135999999999999</v>
      </c>
      <c r="H318" s="45">
        <v>0</v>
      </c>
    </row>
    <row r="319" spans="1:8" x14ac:dyDescent="0.25">
      <c r="A319" s="54"/>
      <c r="D319" s="55" t="s">
        <v>2734</v>
      </c>
      <c r="E319" s="171" t="s">
        <v>46</v>
      </c>
      <c r="F319" s="171"/>
      <c r="G319" s="56">
        <v>11.135999999999999</v>
      </c>
      <c r="H319" s="57"/>
    </row>
    <row r="320" spans="1:8" x14ac:dyDescent="0.25">
      <c r="A320" s="2" t="s">
        <v>417</v>
      </c>
      <c r="B320" s="3" t="s">
        <v>46</v>
      </c>
      <c r="C320" s="3" t="s">
        <v>418</v>
      </c>
      <c r="D320" s="94" t="s">
        <v>419</v>
      </c>
      <c r="E320" s="94"/>
      <c r="F320" s="3" t="s">
        <v>52</v>
      </c>
      <c r="G320" s="25">
        <v>41</v>
      </c>
      <c r="H320" s="45">
        <v>0</v>
      </c>
    </row>
    <row r="321" spans="1:8" x14ac:dyDescent="0.25">
      <c r="A321" s="54"/>
      <c r="D321" s="55" t="s">
        <v>2735</v>
      </c>
      <c r="E321" s="171" t="s">
        <v>46</v>
      </c>
      <c r="F321" s="171"/>
      <c r="G321" s="56">
        <v>25</v>
      </c>
      <c r="H321" s="57"/>
    </row>
    <row r="322" spans="1:8" x14ac:dyDescent="0.25">
      <c r="A322" s="2" t="s">
        <v>46</v>
      </c>
      <c r="B322" s="3" t="s">
        <v>46</v>
      </c>
      <c r="C322" s="3" t="s">
        <v>46</v>
      </c>
      <c r="D322" s="55" t="s">
        <v>2736</v>
      </c>
      <c r="E322" s="171" t="s">
        <v>46</v>
      </c>
      <c r="F322" s="171"/>
      <c r="G322" s="56">
        <v>16</v>
      </c>
      <c r="H322" s="26" t="s">
        <v>46</v>
      </c>
    </row>
    <row r="323" spans="1:8" x14ac:dyDescent="0.25">
      <c r="A323" s="2" t="s">
        <v>420</v>
      </c>
      <c r="B323" s="3" t="s">
        <v>46</v>
      </c>
      <c r="C323" s="3" t="s">
        <v>421</v>
      </c>
      <c r="D323" s="94" t="s">
        <v>422</v>
      </c>
      <c r="E323" s="94"/>
      <c r="F323" s="3" t="s">
        <v>52</v>
      </c>
      <c r="G323" s="25">
        <v>16</v>
      </c>
      <c r="H323" s="45">
        <v>0</v>
      </c>
    </row>
    <row r="324" spans="1:8" x14ac:dyDescent="0.25">
      <c r="A324" s="54"/>
      <c r="D324" s="55" t="s">
        <v>49</v>
      </c>
      <c r="E324" s="171" t="s">
        <v>46</v>
      </c>
      <c r="F324" s="171"/>
      <c r="G324" s="56">
        <v>1</v>
      </c>
      <c r="H324" s="57"/>
    </row>
    <row r="325" spans="1:8" x14ac:dyDescent="0.25">
      <c r="A325" s="2" t="s">
        <v>46</v>
      </c>
      <c r="B325" s="3" t="s">
        <v>46</v>
      </c>
      <c r="C325" s="3" t="s">
        <v>46</v>
      </c>
      <c r="D325" s="55" t="s">
        <v>2737</v>
      </c>
      <c r="E325" s="171" t="s">
        <v>46</v>
      </c>
      <c r="F325" s="171"/>
      <c r="G325" s="56">
        <v>15</v>
      </c>
      <c r="H325" s="26" t="s">
        <v>46</v>
      </c>
    </row>
    <row r="326" spans="1:8" x14ac:dyDescent="0.25">
      <c r="A326" s="2" t="s">
        <v>423</v>
      </c>
      <c r="B326" s="3" t="s">
        <v>46</v>
      </c>
      <c r="C326" s="3" t="s">
        <v>424</v>
      </c>
      <c r="D326" s="94" t="s">
        <v>425</v>
      </c>
      <c r="E326" s="94"/>
      <c r="F326" s="3" t="s">
        <v>52</v>
      </c>
      <c r="G326" s="25">
        <v>4</v>
      </c>
      <c r="H326" s="45">
        <v>0</v>
      </c>
    </row>
    <row r="327" spans="1:8" x14ac:dyDescent="0.25">
      <c r="A327" s="54"/>
      <c r="D327" s="55" t="s">
        <v>2738</v>
      </c>
      <c r="E327" s="171" t="s">
        <v>46</v>
      </c>
      <c r="F327" s="171"/>
      <c r="G327" s="56">
        <v>2</v>
      </c>
      <c r="H327" s="57"/>
    </row>
    <row r="328" spans="1:8" x14ac:dyDescent="0.25">
      <c r="A328" s="2" t="s">
        <v>46</v>
      </c>
      <c r="B328" s="3" t="s">
        <v>46</v>
      </c>
      <c r="C328" s="3" t="s">
        <v>46</v>
      </c>
      <c r="D328" s="55" t="s">
        <v>2738</v>
      </c>
      <c r="E328" s="171" t="s">
        <v>46</v>
      </c>
      <c r="F328" s="171"/>
      <c r="G328" s="56">
        <v>2</v>
      </c>
      <c r="H328" s="26" t="s">
        <v>46</v>
      </c>
    </row>
    <row r="329" spans="1:8" x14ac:dyDescent="0.25">
      <c r="A329" s="2" t="s">
        <v>426</v>
      </c>
      <c r="B329" s="3" t="s">
        <v>46</v>
      </c>
      <c r="C329" s="3" t="s">
        <v>427</v>
      </c>
      <c r="D329" s="94" t="s">
        <v>428</v>
      </c>
      <c r="E329" s="94"/>
      <c r="F329" s="3" t="s">
        <v>52</v>
      </c>
      <c r="G329" s="25">
        <v>2</v>
      </c>
      <c r="H329" s="45">
        <v>0</v>
      </c>
    </row>
    <row r="330" spans="1:8" x14ac:dyDescent="0.25">
      <c r="A330" s="54"/>
      <c r="D330" s="55" t="s">
        <v>2738</v>
      </c>
      <c r="E330" s="171" t="s">
        <v>46</v>
      </c>
      <c r="F330" s="171"/>
      <c r="G330" s="56">
        <v>2</v>
      </c>
      <c r="H330" s="57"/>
    </row>
    <row r="331" spans="1:8" x14ac:dyDescent="0.25">
      <c r="A331" s="2" t="s">
        <v>429</v>
      </c>
      <c r="B331" s="3" t="s">
        <v>46</v>
      </c>
      <c r="C331" s="3" t="s">
        <v>430</v>
      </c>
      <c r="D331" s="94" t="s">
        <v>431</v>
      </c>
      <c r="E331" s="94"/>
      <c r="F331" s="3" t="s">
        <v>93</v>
      </c>
      <c r="G331" s="25">
        <v>43.87</v>
      </c>
      <c r="H331" s="45">
        <v>0</v>
      </c>
    </row>
    <row r="332" spans="1:8" x14ac:dyDescent="0.25">
      <c r="A332" s="54"/>
      <c r="D332" s="55" t="s">
        <v>2739</v>
      </c>
      <c r="E332" s="171" t="s">
        <v>46</v>
      </c>
      <c r="F332" s="171"/>
      <c r="G332" s="56">
        <v>43.87</v>
      </c>
      <c r="H332" s="57"/>
    </row>
    <row r="333" spans="1:8" x14ac:dyDescent="0.25">
      <c r="A333" s="2" t="s">
        <v>432</v>
      </c>
      <c r="B333" s="3" t="s">
        <v>46</v>
      </c>
      <c r="C333" s="3" t="s">
        <v>433</v>
      </c>
      <c r="D333" s="94" t="s">
        <v>434</v>
      </c>
      <c r="E333" s="94"/>
      <c r="F333" s="3" t="s">
        <v>93</v>
      </c>
      <c r="G333" s="25">
        <v>4.51</v>
      </c>
      <c r="H333" s="45">
        <v>0</v>
      </c>
    </row>
    <row r="334" spans="1:8" x14ac:dyDescent="0.25">
      <c r="A334" s="54"/>
      <c r="D334" s="55" t="s">
        <v>2740</v>
      </c>
      <c r="E334" s="171" t="s">
        <v>46</v>
      </c>
      <c r="F334" s="171"/>
      <c r="G334" s="56">
        <v>4.51</v>
      </c>
      <c r="H334" s="57"/>
    </row>
    <row r="335" spans="1:8" x14ac:dyDescent="0.25">
      <c r="A335" s="2" t="s">
        <v>435</v>
      </c>
      <c r="B335" s="3" t="s">
        <v>46</v>
      </c>
      <c r="C335" s="3" t="s">
        <v>436</v>
      </c>
      <c r="D335" s="94" t="s">
        <v>437</v>
      </c>
      <c r="E335" s="94"/>
      <c r="F335" s="3" t="s">
        <v>93</v>
      </c>
      <c r="G335" s="25">
        <v>2.5499999999999998</v>
      </c>
      <c r="H335" s="45">
        <v>0</v>
      </c>
    </row>
    <row r="336" spans="1:8" x14ac:dyDescent="0.25">
      <c r="A336" s="54"/>
      <c r="D336" s="55" t="s">
        <v>2741</v>
      </c>
      <c r="E336" s="171" t="s">
        <v>46</v>
      </c>
      <c r="F336" s="171"/>
      <c r="G336" s="56">
        <v>2.5499999999999998</v>
      </c>
      <c r="H336" s="57"/>
    </row>
    <row r="337" spans="1:8" x14ac:dyDescent="0.25">
      <c r="A337" s="2" t="s">
        <v>438</v>
      </c>
      <c r="B337" s="3" t="s">
        <v>46</v>
      </c>
      <c r="C337" s="3" t="s">
        <v>439</v>
      </c>
      <c r="D337" s="94" t="s">
        <v>440</v>
      </c>
      <c r="E337" s="94"/>
      <c r="F337" s="3" t="s">
        <v>131</v>
      </c>
      <c r="G337" s="25">
        <v>5.0999999999999996</v>
      </c>
      <c r="H337" s="45">
        <v>0</v>
      </c>
    </row>
    <row r="338" spans="1:8" x14ac:dyDescent="0.25">
      <c r="A338" s="54"/>
      <c r="D338" s="55" t="s">
        <v>2742</v>
      </c>
      <c r="E338" s="171" t="s">
        <v>46</v>
      </c>
      <c r="F338" s="171"/>
      <c r="G338" s="56">
        <v>5.0999999999999996</v>
      </c>
      <c r="H338" s="57"/>
    </row>
    <row r="339" spans="1:8" x14ac:dyDescent="0.25">
      <c r="A339" s="58" t="s">
        <v>46</v>
      </c>
      <c r="B339" s="29" t="s">
        <v>46</v>
      </c>
      <c r="C339" s="29" t="s">
        <v>372</v>
      </c>
      <c r="D339" s="151" t="s">
        <v>441</v>
      </c>
      <c r="E339" s="151"/>
      <c r="F339" s="29" t="s">
        <v>46</v>
      </c>
      <c r="G339" s="11" t="s">
        <v>46</v>
      </c>
      <c r="H339" s="31" t="s">
        <v>46</v>
      </c>
    </row>
    <row r="340" spans="1:8" x14ac:dyDescent="0.25">
      <c r="A340" s="2" t="s">
        <v>442</v>
      </c>
      <c r="B340" s="3" t="s">
        <v>46</v>
      </c>
      <c r="C340" s="3" t="s">
        <v>443</v>
      </c>
      <c r="D340" s="94" t="s">
        <v>444</v>
      </c>
      <c r="E340" s="94"/>
      <c r="F340" s="3" t="s">
        <v>52</v>
      </c>
      <c r="G340" s="25">
        <v>5</v>
      </c>
      <c r="H340" s="45">
        <v>0</v>
      </c>
    </row>
    <row r="341" spans="1:8" x14ac:dyDescent="0.25">
      <c r="A341" s="54"/>
      <c r="D341" s="55" t="s">
        <v>68</v>
      </c>
      <c r="E341" s="171" t="s">
        <v>46</v>
      </c>
      <c r="F341" s="171"/>
      <c r="G341" s="56">
        <v>5</v>
      </c>
      <c r="H341" s="57"/>
    </row>
    <row r="342" spans="1:8" x14ac:dyDescent="0.25">
      <c r="A342" s="2" t="s">
        <v>446</v>
      </c>
      <c r="B342" s="3" t="s">
        <v>46</v>
      </c>
      <c r="C342" s="3" t="s">
        <v>447</v>
      </c>
      <c r="D342" s="94" t="s">
        <v>448</v>
      </c>
      <c r="E342" s="94"/>
      <c r="F342" s="3" t="s">
        <v>52</v>
      </c>
      <c r="G342" s="25">
        <v>4</v>
      </c>
      <c r="H342" s="45">
        <v>0</v>
      </c>
    </row>
    <row r="343" spans="1:8" x14ac:dyDescent="0.25">
      <c r="A343" s="54"/>
      <c r="D343" s="55" t="s">
        <v>65</v>
      </c>
      <c r="E343" s="171" t="s">
        <v>46</v>
      </c>
      <c r="F343" s="171"/>
      <c r="G343" s="56">
        <v>4</v>
      </c>
      <c r="H343" s="57"/>
    </row>
    <row r="344" spans="1:8" x14ac:dyDescent="0.25">
      <c r="A344" s="2" t="s">
        <v>449</v>
      </c>
      <c r="B344" s="3" t="s">
        <v>46</v>
      </c>
      <c r="C344" s="3" t="s">
        <v>450</v>
      </c>
      <c r="D344" s="94" t="s">
        <v>451</v>
      </c>
      <c r="E344" s="94"/>
      <c r="F344" s="3" t="s">
        <v>61</v>
      </c>
      <c r="G344" s="25">
        <v>0.56200000000000006</v>
      </c>
      <c r="H344" s="45">
        <v>0</v>
      </c>
    </row>
    <row r="345" spans="1:8" x14ac:dyDescent="0.25">
      <c r="A345" s="54"/>
      <c r="D345" s="55" t="s">
        <v>2743</v>
      </c>
      <c r="E345" s="171" t="s">
        <v>46</v>
      </c>
      <c r="F345" s="171"/>
      <c r="G345" s="56">
        <v>0.45700000000000002</v>
      </c>
      <c r="H345" s="57"/>
    </row>
    <row r="346" spans="1:8" x14ac:dyDescent="0.25">
      <c r="A346" s="2" t="s">
        <v>46</v>
      </c>
      <c r="B346" s="3" t="s">
        <v>46</v>
      </c>
      <c r="C346" s="3" t="s">
        <v>46</v>
      </c>
      <c r="D346" s="55" t="s">
        <v>2744</v>
      </c>
      <c r="E346" s="171" t="s">
        <v>46</v>
      </c>
      <c r="F346" s="171"/>
      <c r="G346" s="56">
        <v>0.105</v>
      </c>
      <c r="H346" s="26" t="s">
        <v>46</v>
      </c>
    </row>
    <row r="347" spans="1:8" x14ac:dyDescent="0.25">
      <c r="A347" s="2" t="s">
        <v>452</v>
      </c>
      <c r="B347" s="3" t="s">
        <v>46</v>
      </c>
      <c r="C347" s="3" t="s">
        <v>453</v>
      </c>
      <c r="D347" s="94" t="s">
        <v>454</v>
      </c>
      <c r="E347" s="94"/>
      <c r="F347" s="3" t="s">
        <v>61</v>
      </c>
      <c r="G347" s="25">
        <v>3.085</v>
      </c>
      <c r="H347" s="45">
        <v>0</v>
      </c>
    </row>
    <row r="348" spans="1:8" x14ac:dyDescent="0.25">
      <c r="A348" s="54"/>
      <c r="D348" s="55" t="s">
        <v>2745</v>
      </c>
      <c r="E348" s="171" t="s">
        <v>46</v>
      </c>
      <c r="F348" s="171"/>
      <c r="G348" s="56">
        <v>2.0870000000000002</v>
      </c>
      <c r="H348" s="57"/>
    </row>
    <row r="349" spans="1:8" x14ac:dyDescent="0.25">
      <c r="A349" s="2" t="s">
        <v>46</v>
      </c>
      <c r="B349" s="3" t="s">
        <v>46</v>
      </c>
      <c r="C349" s="3" t="s">
        <v>46</v>
      </c>
      <c r="D349" s="55" t="s">
        <v>2746</v>
      </c>
      <c r="E349" s="171" t="s">
        <v>46</v>
      </c>
      <c r="F349" s="171"/>
      <c r="G349" s="56">
        <v>0.998</v>
      </c>
      <c r="H349" s="26" t="s">
        <v>46</v>
      </c>
    </row>
    <row r="350" spans="1:8" x14ac:dyDescent="0.25">
      <c r="A350" s="2" t="s">
        <v>455</v>
      </c>
      <c r="B350" s="3" t="s">
        <v>46</v>
      </c>
      <c r="C350" s="3" t="s">
        <v>456</v>
      </c>
      <c r="D350" s="94" t="s">
        <v>457</v>
      </c>
      <c r="E350" s="94"/>
      <c r="F350" s="3" t="s">
        <v>61</v>
      </c>
      <c r="G350" s="25">
        <v>2.7829999999999999</v>
      </c>
      <c r="H350" s="45">
        <v>0</v>
      </c>
    </row>
    <row r="351" spans="1:8" x14ac:dyDescent="0.25">
      <c r="A351" s="54"/>
      <c r="D351" s="55" t="s">
        <v>2747</v>
      </c>
      <c r="E351" s="171" t="s">
        <v>46</v>
      </c>
      <c r="F351" s="171"/>
      <c r="G351" s="56">
        <v>2.7829999999999999</v>
      </c>
      <c r="H351" s="57"/>
    </row>
    <row r="352" spans="1:8" x14ac:dyDescent="0.25">
      <c r="A352" s="2" t="s">
        <v>458</v>
      </c>
      <c r="B352" s="3" t="s">
        <v>46</v>
      </c>
      <c r="C352" s="3" t="s">
        <v>459</v>
      </c>
      <c r="D352" s="94" t="s">
        <v>460</v>
      </c>
      <c r="E352" s="94"/>
      <c r="F352" s="3" t="s">
        <v>93</v>
      </c>
      <c r="G352" s="25">
        <v>8.19</v>
      </c>
      <c r="H352" s="45">
        <v>0</v>
      </c>
    </row>
    <row r="353" spans="1:8" x14ac:dyDescent="0.25">
      <c r="A353" s="54"/>
      <c r="D353" s="55" t="s">
        <v>2748</v>
      </c>
      <c r="E353" s="171" t="s">
        <v>46</v>
      </c>
      <c r="F353" s="171"/>
      <c r="G353" s="56">
        <v>8.19</v>
      </c>
      <c r="H353" s="57"/>
    </row>
    <row r="354" spans="1:8" x14ac:dyDescent="0.25">
      <c r="A354" s="2" t="s">
        <v>461</v>
      </c>
      <c r="B354" s="3" t="s">
        <v>46</v>
      </c>
      <c r="C354" s="3" t="s">
        <v>462</v>
      </c>
      <c r="D354" s="94" t="s">
        <v>463</v>
      </c>
      <c r="E354" s="94"/>
      <c r="F354" s="3" t="s">
        <v>93</v>
      </c>
      <c r="G354" s="25">
        <v>1.68</v>
      </c>
      <c r="H354" s="45">
        <v>0</v>
      </c>
    </row>
    <row r="355" spans="1:8" x14ac:dyDescent="0.25">
      <c r="A355" s="54"/>
      <c r="D355" s="55" t="s">
        <v>2749</v>
      </c>
      <c r="E355" s="171" t="s">
        <v>46</v>
      </c>
      <c r="F355" s="171"/>
      <c r="G355" s="56">
        <v>1.68</v>
      </c>
      <c r="H355" s="57"/>
    </row>
    <row r="356" spans="1:8" x14ac:dyDescent="0.25">
      <c r="A356" s="2" t="s">
        <v>464</v>
      </c>
      <c r="B356" s="3" t="s">
        <v>46</v>
      </c>
      <c r="C356" s="3" t="s">
        <v>465</v>
      </c>
      <c r="D356" s="94" t="s">
        <v>466</v>
      </c>
      <c r="E356" s="94"/>
      <c r="F356" s="3" t="s">
        <v>61</v>
      </c>
      <c r="G356" s="25">
        <v>0.25800000000000001</v>
      </c>
      <c r="H356" s="45">
        <v>0</v>
      </c>
    </row>
    <row r="357" spans="1:8" x14ac:dyDescent="0.25">
      <c r="A357" s="54"/>
      <c r="D357" s="55" t="s">
        <v>2750</v>
      </c>
      <c r="E357" s="171" t="s">
        <v>46</v>
      </c>
      <c r="F357" s="171"/>
      <c r="G357" s="56">
        <v>0.25800000000000001</v>
      </c>
      <c r="H357" s="57"/>
    </row>
    <row r="358" spans="1:8" x14ac:dyDescent="0.25">
      <c r="A358" s="2" t="s">
        <v>467</v>
      </c>
      <c r="B358" s="3" t="s">
        <v>46</v>
      </c>
      <c r="C358" s="3" t="s">
        <v>468</v>
      </c>
      <c r="D358" s="94" t="s">
        <v>469</v>
      </c>
      <c r="E358" s="94"/>
      <c r="F358" s="3" t="s">
        <v>52</v>
      </c>
      <c r="G358" s="25">
        <v>58</v>
      </c>
      <c r="H358" s="45">
        <v>0</v>
      </c>
    </row>
    <row r="359" spans="1:8" x14ac:dyDescent="0.25">
      <c r="A359" s="54"/>
      <c r="D359" s="55" t="s">
        <v>2751</v>
      </c>
      <c r="E359" s="171" t="s">
        <v>46</v>
      </c>
      <c r="F359" s="171"/>
      <c r="G359" s="56">
        <v>34</v>
      </c>
      <c r="H359" s="57"/>
    </row>
    <row r="360" spans="1:8" x14ac:dyDescent="0.25">
      <c r="A360" s="2" t="s">
        <v>46</v>
      </c>
      <c r="B360" s="3" t="s">
        <v>46</v>
      </c>
      <c r="C360" s="3" t="s">
        <v>46</v>
      </c>
      <c r="D360" s="55" t="s">
        <v>2752</v>
      </c>
      <c r="E360" s="171" t="s">
        <v>46</v>
      </c>
      <c r="F360" s="171"/>
      <c r="G360" s="56">
        <v>24</v>
      </c>
      <c r="H360" s="26" t="s">
        <v>46</v>
      </c>
    </row>
    <row r="361" spans="1:8" x14ac:dyDescent="0.25">
      <c r="A361" s="2" t="s">
        <v>470</v>
      </c>
      <c r="B361" s="3" t="s">
        <v>46</v>
      </c>
      <c r="C361" s="3" t="s">
        <v>471</v>
      </c>
      <c r="D361" s="94" t="s">
        <v>472</v>
      </c>
      <c r="E361" s="94"/>
      <c r="F361" s="3" t="s">
        <v>93</v>
      </c>
      <c r="G361" s="25">
        <v>1043.1110000000001</v>
      </c>
      <c r="H361" s="45">
        <v>0</v>
      </c>
    </row>
    <row r="362" spans="1:8" x14ac:dyDescent="0.25">
      <c r="A362" s="54"/>
      <c r="D362" s="55" t="s">
        <v>2753</v>
      </c>
      <c r="E362" s="171" t="s">
        <v>46</v>
      </c>
      <c r="F362" s="171"/>
      <c r="G362" s="56">
        <v>45.552</v>
      </c>
      <c r="H362" s="57"/>
    </row>
    <row r="363" spans="1:8" x14ac:dyDescent="0.25">
      <c r="A363" s="2" t="s">
        <v>46</v>
      </c>
      <c r="B363" s="3" t="s">
        <v>46</v>
      </c>
      <c r="C363" s="3" t="s">
        <v>46</v>
      </c>
      <c r="D363" s="55" t="s">
        <v>2754</v>
      </c>
      <c r="E363" s="171" t="s">
        <v>46</v>
      </c>
      <c r="F363" s="171"/>
      <c r="G363" s="56">
        <v>886.452</v>
      </c>
      <c r="H363" s="26" t="s">
        <v>46</v>
      </c>
    </row>
    <row r="364" spans="1:8" x14ac:dyDescent="0.25">
      <c r="A364" s="2" t="s">
        <v>46</v>
      </c>
      <c r="B364" s="3" t="s">
        <v>46</v>
      </c>
      <c r="C364" s="3" t="s">
        <v>46</v>
      </c>
      <c r="D364" s="55" t="s">
        <v>2674</v>
      </c>
      <c r="E364" s="171" t="s">
        <v>46</v>
      </c>
      <c r="F364" s="171"/>
      <c r="G364" s="56">
        <v>111.107</v>
      </c>
      <c r="H364" s="26" t="s">
        <v>46</v>
      </c>
    </row>
    <row r="365" spans="1:8" x14ac:dyDescent="0.25">
      <c r="A365" s="2" t="s">
        <v>473</v>
      </c>
      <c r="B365" s="3" t="s">
        <v>46</v>
      </c>
      <c r="C365" s="3" t="s">
        <v>474</v>
      </c>
      <c r="D365" s="94" t="s">
        <v>475</v>
      </c>
      <c r="E365" s="94"/>
      <c r="F365" s="3" t="s">
        <v>93</v>
      </c>
      <c r="G365" s="25">
        <v>1043.1110000000001</v>
      </c>
      <c r="H365" s="45">
        <v>0</v>
      </c>
    </row>
    <row r="366" spans="1:8" x14ac:dyDescent="0.25">
      <c r="A366" s="54"/>
      <c r="D366" s="55" t="s">
        <v>2753</v>
      </c>
      <c r="E366" s="171" t="s">
        <v>46</v>
      </c>
      <c r="F366" s="171"/>
      <c r="G366" s="56">
        <v>45.552</v>
      </c>
      <c r="H366" s="57"/>
    </row>
    <row r="367" spans="1:8" x14ac:dyDescent="0.25">
      <c r="A367" s="2" t="s">
        <v>46</v>
      </c>
      <c r="B367" s="3" t="s">
        <v>46</v>
      </c>
      <c r="C367" s="3" t="s">
        <v>46</v>
      </c>
      <c r="D367" s="55" t="s">
        <v>2755</v>
      </c>
      <c r="E367" s="171" t="s">
        <v>46</v>
      </c>
      <c r="F367" s="171"/>
      <c r="G367" s="56">
        <v>886.452</v>
      </c>
      <c r="H367" s="26" t="s">
        <v>46</v>
      </c>
    </row>
    <row r="368" spans="1:8" x14ac:dyDescent="0.25">
      <c r="A368" s="2" t="s">
        <v>46</v>
      </c>
      <c r="B368" s="3" t="s">
        <v>46</v>
      </c>
      <c r="C368" s="3" t="s">
        <v>46</v>
      </c>
      <c r="D368" s="55" t="s">
        <v>2674</v>
      </c>
      <c r="E368" s="171" t="s">
        <v>46</v>
      </c>
      <c r="F368" s="171"/>
      <c r="G368" s="56">
        <v>111.107</v>
      </c>
      <c r="H368" s="26" t="s">
        <v>46</v>
      </c>
    </row>
    <row r="369" spans="1:8" x14ac:dyDescent="0.25">
      <c r="A369" s="2" t="s">
        <v>476</v>
      </c>
      <c r="B369" s="3" t="s">
        <v>46</v>
      </c>
      <c r="C369" s="3" t="s">
        <v>477</v>
      </c>
      <c r="D369" s="94" t="s">
        <v>478</v>
      </c>
      <c r="E369" s="94"/>
      <c r="F369" s="3" t="s">
        <v>93</v>
      </c>
      <c r="G369" s="25">
        <v>256.89800000000002</v>
      </c>
      <c r="H369" s="45">
        <v>0</v>
      </c>
    </row>
    <row r="370" spans="1:8" x14ac:dyDescent="0.25">
      <c r="A370" s="54"/>
      <c r="D370" s="55" t="s">
        <v>2756</v>
      </c>
      <c r="E370" s="171" t="s">
        <v>46</v>
      </c>
      <c r="F370" s="171"/>
      <c r="G370" s="56">
        <v>18.75</v>
      </c>
      <c r="H370" s="57"/>
    </row>
    <row r="371" spans="1:8" x14ac:dyDescent="0.25">
      <c r="A371" s="2" t="s">
        <v>46</v>
      </c>
      <c r="B371" s="3" t="s">
        <v>46</v>
      </c>
      <c r="C371" s="3" t="s">
        <v>46</v>
      </c>
      <c r="D371" s="55" t="s">
        <v>2757</v>
      </c>
      <c r="E371" s="171" t="s">
        <v>46</v>
      </c>
      <c r="F371" s="171"/>
      <c r="G371" s="56">
        <v>189.84299999999999</v>
      </c>
      <c r="H371" s="26" t="s">
        <v>46</v>
      </c>
    </row>
    <row r="372" spans="1:8" x14ac:dyDescent="0.25">
      <c r="A372" s="2" t="s">
        <v>46</v>
      </c>
      <c r="B372" s="3" t="s">
        <v>46</v>
      </c>
      <c r="C372" s="3" t="s">
        <v>46</v>
      </c>
      <c r="D372" s="55" t="s">
        <v>2758</v>
      </c>
      <c r="E372" s="171" t="s">
        <v>46</v>
      </c>
      <c r="F372" s="171"/>
      <c r="G372" s="56">
        <v>48.305</v>
      </c>
      <c r="H372" s="26" t="s">
        <v>46</v>
      </c>
    </row>
    <row r="373" spans="1:8" x14ac:dyDescent="0.25">
      <c r="A373" s="58" t="s">
        <v>46</v>
      </c>
      <c r="B373" s="29" t="s">
        <v>46</v>
      </c>
      <c r="C373" s="29" t="s">
        <v>479</v>
      </c>
      <c r="D373" s="151" t="s">
        <v>480</v>
      </c>
      <c r="E373" s="151"/>
      <c r="F373" s="29" t="s">
        <v>46</v>
      </c>
      <c r="G373" s="11" t="s">
        <v>46</v>
      </c>
      <c r="H373" s="31" t="s">
        <v>46</v>
      </c>
    </row>
    <row r="374" spans="1:8" x14ac:dyDescent="0.25">
      <c r="A374" s="2" t="s">
        <v>481</v>
      </c>
      <c r="B374" s="3" t="s">
        <v>46</v>
      </c>
      <c r="C374" s="3" t="s">
        <v>482</v>
      </c>
      <c r="D374" s="94" t="s">
        <v>483</v>
      </c>
      <c r="E374" s="94"/>
      <c r="F374" s="3" t="s">
        <v>71</v>
      </c>
      <c r="G374" s="25">
        <v>108.056</v>
      </c>
      <c r="H374" s="45">
        <v>0</v>
      </c>
    </row>
    <row r="375" spans="1:8" x14ac:dyDescent="0.25">
      <c r="A375" s="54"/>
      <c r="D375" s="55" t="s">
        <v>2759</v>
      </c>
      <c r="E375" s="171" t="s">
        <v>46</v>
      </c>
      <c r="F375" s="171"/>
      <c r="G375" s="56">
        <v>108.056</v>
      </c>
      <c r="H375" s="57"/>
    </row>
    <row r="376" spans="1:8" x14ac:dyDescent="0.25">
      <c r="A376" s="2" t="s">
        <v>485</v>
      </c>
      <c r="B376" s="3" t="s">
        <v>46</v>
      </c>
      <c r="C376" s="3" t="s">
        <v>486</v>
      </c>
      <c r="D376" s="94" t="s">
        <v>487</v>
      </c>
      <c r="E376" s="94"/>
      <c r="F376" s="3" t="s">
        <v>71</v>
      </c>
      <c r="G376" s="25">
        <v>216.11199999999999</v>
      </c>
      <c r="H376" s="45">
        <v>0</v>
      </c>
    </row>
    <row r="377" spans="1:8" x14ac:dyDescent="0.25">
      <c r="A377" s="54"/>
      <c r="D377" s="55" t="s">
        <v>2760</v>
      </c>
      <c r="E377" s="171" t="s">
        <v>46</v>
      </c>
      <c r="F377" s="171"/>
      <c r="G377" s="56">
        <v>216.11199999999999</v>
      </c>
      <c r="H377" s="57"/>
    </row>
    <row r="378" spans="1:8" x14ac:dyDescent="0.25">
      <c r="A378" s="2" t="s">
        <v>488</v>
      </c>
      <c r="B378" s="3" t="s">
        <v>46</v>
      </c>
      <c r="C378" s="3" t="s">
        <v>489</v>
      </c>
      <c r="D378" s="94" t="s">
        <v>490</v>
      </c>
      <c r="E378" s="94"/>
      <c r="F378" s="3" t="s">
        <v>71</v>
      </c>
      <c r="G378" s="25">
        <v>108.056</v>
      </c>
      <c r="H378" s="45">
        <v>0</v>
      </c>
    </row>
    <row r="379" spans="1:8" x14ac:dyDescent="0.25">
      <c r="A379" s="54"/>
      <c r="D379" s="55" t="s">
        <v>2759</v>
      </c>
      <c r="E379" s="171" t="s">
        <v>46</v>
      </c>
      <c r="F379" s="171"/>
      <c r="G379" s="56">
        <v>108.056</v>
      </c>
      <c r="H379" s="57"/>
    </row>
    <row r="380" spans="1:8" x14ac:dyDescent="0.25">
      <c r="A380" s="2" t="s">
        <v>491</v>
      </c>
      <c r="B380" s="3" t="s">
        <v>46</v>
      </c>
      <c r="C380" s="3" t="s">
        <v>492</v>
      </c>
      <c r="D380" s="94" t="s">
        <v>493</v>
      </c>
      <c r="E380" s="94"/>
      <c r="F380" s="3" t="s">
        <v>71</v>
      </c>
      <c r="G380" s="25">
        <v>2053.0639999999999</v>
      </c>
      <c r="H380" s="45">
        <v>0</v>
      </c>
    </row>
    <row r="381" spans="1:8" x14ac:dyDescent="0.25">
      <c r="A381" s="54"/>
      <c r="D381" s="55" t="s">
        <v>2761</v>
      </c>
      <c r="E381" s="171" t="s">
        <v>46</v>
      </c>
      <c r="F381" s="171"/>
      <c r="G381" s="56">
        <v>2053.0639999999999</v>
      </c>
      <c r="H381" s="57"/>
    </row>
    <row r="382" spans="1:8" x14ac:dyDescent="0.25">
      <c r="A382" s="2" t="s">
        <v>494</v>
      </c>
      <c r="B382" s="3" t="s">
        <v>46</v>
      </c>
      <c r="C382" s="3" t="s">
        <v>495</v>
      </c>
      <c r="D382" s="94" t="s">
        <v>496</v>
      </c>
      <c r="E382" s="94"/>
      <c r="F382" s="3" t="s">
        <v>71</v>
      </c>
      <c r="G382" s="25">
        <v>108.056</v>
      </c>
      <c r="H382" s="45">
        <v>0</v>
      </c>
    </row>
    <row r="383" spans="1:8" x14ac:dyDescent="0.25">
      <c r="A383" s="54"/>
      <c r="D383" s="55" t="s">
        <v>2759</v>
      </c>
      <c r="E383" s="171" t="s">
        <v>46</v>
      </c>
      <c r="F383" s="171"/>
      <c r="G383" s="56">
        <v>108.056</v>
      </c>
      <c r="H383" s="57"/>
    </row>
    <row r="384" spans="1:8" x14ac:dyDescent="0.25">
      <c r="A384" s="2" t="s">
        <v>497</v>
      </c>
      <c r="B384" s="3" t="s">
        <v>46</v>
      </c>
      <c r="C384" s="3" t="s">
        <v>498</v>
      </c>
      <c r="D384" s="94" t="s">
        <v>499</v>
      </c>
      <c r="E384" s="94"/>
      <c r="F384" s="3" t="s">
        <v>71</v>
      </c>
      <c r="G384" s="25">
        <v>108.056</v>
      </c>
      <c r="H384" s="45">
        <v>0</v>
      </c>
    </row>
    <row r="385" spans="1:8" x14ac:dyDescent="0.25">
      <c r="A385" s="54"/>
      <c r="D385" s="55" t="s">
        <v>2759</v>
      </c>
      <c r="E385" s="171" t="s">
        <v>46</v>
      </c>
      <c r="F385" s="171"/>
      <c r="G385" s="56">
        <v>108.056</v>
      </c>
      <c r="H385" s="57"/>
    </row>
    <row r="386" spans="1:8" x14ac:dyDescent="0.25">
      <c r="A386" s="2" t="s">
        <v>500</v>
      </c>
      <c r="B386" s="3" t="s">
        <v>46</v>
      </c>
      <c r="C386" s="3" t="s">
        <v>501</v>
      </c>
      <c r="D386" s="94" t="s">
        <v>502</v>
      </c>
      <c r="E386" s="94"/>
      <c r="F386" s="3" t="s">
        <v>71</v>
      </c>
      <c r="G386" s="25">
        <v>540.28</v>
      </c>
      <c r="H386" s="45">
        <v>0</v>
      </c>
    </row>
    <row r="387" spans="1:8" x14ac:dyDescent="0.25">
      <c r="A387" s="54"/>
      <c r="D387" s="55" t="s">
        <v>2762</v>
      </c>
      <c r="E387" s="171" t="s">
        <v>46</v>
      </c>
      <c r="F387" s="171"/>
      <c r="G387" s="56">
        <v>540.28</v>
      </c>
      <c r="H387" s="57"/>
    </row>
    <row r="388" spans="1:8" x14ac:dyDescent="0.25">
      <c r="A388" s="2" t="s">
        <v>503</v>
      </c>
      <c r="B388" s="3" t="s">
        <v>46</v>
      </c>
      <c r="C388" s="3" t="s">
        <v>504</v>
      </c>
      <c r="D388" s="94" t="s">
        <v>505</v>
      </c>
      <c r="E388" s="94"/>
      <c r="F388" s="3" t="s">
        <v>71</v>
      </c>
      <c r="G388" s="25">
        <v>108.056</v>
      </c>
      <c r="H388" s="45">
        <v>0</v>
      </c>
    </row>
    <row r="389" spans="1:8" x14ac:dyDescent="0.25">
      <c r="A389" s="54"/>
      <c r="D389" s="55" t="s">
        <v>2759</v>
      </c>
      <c r="E389" s="171" t="s">
        <v>46</v>
      </c>
      <c r="F389" s="171"/>
      <c r="G389" s="56">
        <v>108.056</v>
      </c>
      <c r="H389" s="57"/>
    </row>
    <row r="390" spans="1:8" x14ac:dyDescent="0.25">
      <c r="A390" s="2" t="s">
        <v>506</v>
      </c>
      <c r="B390" s="3" t="s">
        <v>46</v>
      </c>
      <c r="C390" s="3" t="s">
        <v>507</v>
      </c>
      <c r="D390" s="94" t="s">
        <v>508</v>
      </c>
      <c r="E390" s="94"/>
      <c r="F390" s="3" t="s">
        <v>71</v>
      </c>
      <c r="G390" s="25">
        <v>16.442</v>
      </c>
      <c r="H390" s="45">
        <v>0</v>
      </c>
    </row>
    <row r="391" spans="1:8" x14ac:dyDescent="0.25">
      <c r="A391" s="54"/>
      <c r="D391" s="55" t="s">
        <v>2763</v>
      </c>
      <c r="E391" s="171" t="s">
        <v>46</v>
      </c>
      <c r="F391" s="171"/>
      <c r="G391" s="56">
        <v>16.442</v>
      </c>
      <c r="H391" s="57"/>
    </row>
    <row r="392" spans="1:8" x14ac:dyDescent="0.25">
      <c r="A392" s="2" t="s">
        <v>509</v>
      </c>
      <c r="B392" s="3" t="s">
        <v>46</v>
      </c>
      <c r="C392" s="3" t="s">
        <v>510</v>
      </c>
      <c r="D392" s="94" t="s">
        <v>511</v>
      </c>
      <c r="E392" s="94"/>
      <c r="F392" s="3" t="s">
        <v>71</v>
      </c>
      <c r="G392" s="25">
        <v>38.859000000000002</v>
      </c>
      <c r="H392" s="45">
        <v>0</v>
      </c>
    </row>
    <row r="393" spans="1:8" x14ac:dyDescent="0.25">
      <c r="A393" s="54"/>
      <c r="D393" s="55" t="s">
        <v>2764</v>
      </c>
      <c r="E393" s="171" t="s">
        <v>46</v>
      </c>
      <c r="F393" s="171"/>
      <c r="G393" s="56">
        <v>38.859000000000002</v>
      </c>
      <c r="H393" s="57"/>
    </row>
    <row r="394" spans="1:8" x14ac:dyDescent="0.25">
      <c r="A394" s="2" t="s">
        <v>512</v>
      </c>
      <c r="B394" s="3" t="s">
        <v>46</v>
      </c>
      <c r="C394" s="3" t="s">
        <v>513</v>
      </c>
      <c r="D394" s="94" t="s">
        <v>514</v>
      </c>
      <c r="E394" s="94"/>
      <c r="F394" s="3" t="s">
        <v>71</v>
      </c>
      <c r="G394" s="25">
        <v>14.749000000000001</v>
      </c>
      <c r="H394" s="45">
        <v>0</v>
      </c>
    </row>
    <row r="395" spans="1:8" x14ac:dyDescent="0.25">
      <c r="A395" s="54"/>
      <c r="D395" s="55" t="s">
        <v>2765</v>
      </c>
      <c r="E395" s="171" t="s">
        <v>46</v>
      </c>
      <c r="F395" s="171"/>
      <c r="G395" s="56">
        <v>14.749000000000001</v>
      </c>
      <c r="H395" s="57"/>
    </row>
    <row r="396" spans="1:8" x14ac:dyDescent="0.25">
      <c r="A396" s="2" t="s">
        <v>515</v>
      </c>
      <c r="B396" s="3" t="s">
        <v>46</v>
      </c>
      <c r="C396" s="3" t="s">
        <v>516</v>
      </c>
      <c r="D396" s="94" t="s">
        <v>517</v>
      </c>
      <c r="E396" s="94"/>
      <c r="F396" s="3" t="s">
        <v>71</v>
      </c>
      <c r="G396" s="25">
        <v>18.812999999999999</v>
      </c>
      <c r="H396" s="45">
        <v>0</v>
      </c>
    </row>
    <row r="397" spans="1:8" x14ac:dyDescent="0.25">
      <c r="A397" s="54"/>
      <c r="D397" s="55" t="s">
        <v>2766</v>
      </c>
      <c r="E397" s="171" t="s">
        <v>46</v>
      </c>
      <c r="F397" s="171"/>
      <c r="G397" s="56">
        <v>18.812999999999999</v>
      </c>
      <c r="H397" s="57"/>
    </row>
    <row r="398" spans="1:8" x14ac:dyDescent="0.25">
      <c r="A398" s="2" t="s">
        <v>518</v>
      </c>
      <c r="B398" s="3" t="s">
        <v>46</v>
      </c>
      <c r="C398" s="3" t="s">
        <v>519</v>
      </c>
      <c r="D398" s="94" t="s">
        <v>520</v>
      </c>
      <c r="E398" s="94"/>
      <c r="F398" s="3" t="s">
        <v>71</v>
      </c>
      <c r="G398" s="25">
        <v>0.98299999999999998</v>
      </c>
      <c r="H398" s="45">
        <v>0</v>
      </c>
    </row>
    <row r="399" spans="1:8" x14ac:dyDescent="0.25">
      <c r="A399" s="54"/>
      <c r="D399" s="55" t="s">
        <v>2767</v>
      </c>
      <c r="E399" s="171" t="s">
        <v>46</v>
      </c>
      <c r="F399" s="171"/>
      <c r="G399" s="56">
        <v>0.98299999999999998</v>
      </c>
      <c r="H399" s="57"/>
    </row>
    <row r="400" spans="1:8" x14ac:dyDescent="0.25">
      <c r="A400" s="2" t="s">
        <v>521</v>
      </c>
      <c r="B400" s="3" t="s">
        <v>46</v>
      </c>
      <c r="C400" s="3" t="s">
        <v>522</v>
      </c>
      <c r="D400" s="94" t="s">
        <v>523</v>
      </c>
      <c r="E400" s="94"/>
      <c r="F400" s="3" t="s">
        <v>71</v>
      </c>
      <c r="G400" s="25">
        <v>4.5590000000000002</v>
      </c>
      <c r="H400" s="45">
        <v>0</v>
      </c>
    </row>
    <row r="401" spans="1:8" x14ac:dyDescent="0.25">
      <c r="A401" s="54"/>
      <c r="D401" s="55" t="s">
        <v>2768</v>
      </c>
      <c r="E401" s="171" t="s">
        <v>46</v>
      </c>
      <c r="F401" s="171"/>
      <c r="G401" s="56">
        <v>4.5590000000000002</v>
      </c>
      <c r="H401" s="57"/>
    </row>
    <row r="402" spans="1:8" x14ac:dyDescent="0.25">
      <c r="A402" s="2" t="s">
        <v>524</v>
      </c>
      <c r="B402" s="3" t="s">
        <v>46</v>
      </c>
      <c r="C402" s="3" t="s">
        <v>525</v>
      </c>
      <c r="D402" s="94" t="s">
        <v>526</v>
      </c>
      <c r="E402" s="94"/>
      <c r="F402" s="3" t="s">
        <v>71</v>
      </c>
      <c r="G402" s="25">
        <v>13.023999999999999</v>
      </c>
      <c r="H402" s="45">
        <v>0</v>
      </c>
    </row>
    <row r="403" spans="1:8" x14ac:dyDescent="0.25">
      <c r="A403" s="54"/>
      <c r="D403" s="55" t="s">
        <v>2769</v>
      </c>
      <c r="E403" s="171" t="s">
        <v>46</v>
      </c>
      <c r="F403" s="171"/>
      <c r="G403" s="56">
        <v>13.023999999999999</v>
      </c>
      <c r="H403" s="57"/>
    </row>
    <row r="404" spans="1:8" x14ac:dyDescent="0.25">
      <c r="A404" s="2" t="s">
        <v>527</v>
      </c>
      <c r="B404" s="3" t="s">
        <v>46</v>
      </c>
      <c r="C404" s="3" t="s">
        <v>528</v>
      </c>
      <c r="D404" s="94" t="s">
        <v>529</v>
      </c>
      <c r="E404" s="94"/>
      <c r="F404" s="3" t="s">
        <v>71</v>
      </c>
      <c r="G404" s="25">
        <v>0.16900000000000001</v>
      </c>
      <c r="H404" s="45">
        <v>0</v>
      </c>
    </row>
    <row r="405" spans="1:8" x14ac:dyDescent="0.25">
      <c r="A405" s="54"/>
      <c r="D405" s="55" t="s">
        <v>2770</v>
      </c>
      <c r="E405" s="171" t="s">
        <v>46</v>
      </c>
      <c r="F405" s="171"/>
      <c r="G405" s="56">
        <v>0.16900000000000001</v>
      </c>
      <c r="H405" s="57"/>
    </row>
    <row r="406" spans="1:8" x14ac:dyDescent="0.25">
      <c r="A406" s="2" t="s">
        <v>530</v>
      </c>
      <c r="B406" s="3" t="s">
        <v>46</v>
      </c>
      <c r="C406" s="3" t="s">
        <v>531</v>
      </c>
      <c r="D406" s="94" t="s">
        <v>532</v>
      </c>
      <c r="E406" s="94"/>
      <c r="F406" s="3" t="s">
        <v>71</v>
      </c>
      <c r="G406" s="25">
        <v>0.45800000000000002</v>
      </c>
      <c r="H406" s="45">
        <v>0</v>
      </c>
    </row>
    <row r="407" spans="1:8" x14ac:dyDescent="0.25">
      <c r="A407" s="54"/>
      <c r="D407" s="55" t="s">
        <v>2771</v>
      </c>
      <c r="E407" s="171" t="s">
        <v>46</v>
      </c>
      <c r="F407" s="171"/>
      <c r="G407" s="56">
        <v>0.45800000000000002</v>
      </c>
      <c r="H407" s="57"/>
    </row>
    <row r="408" spans="1:8" x14ac:dyDescent="0.25">
      <c r="A408" s="58" t="s">
        <v>46</v>
      </c>
      <c r="B408" s="29" t="s">
        <v>46</v>
      </c>
      <c r="C408" s="29" t="s">
        <v>533</v>
      </c>
      <c r="D408" s="151" t="s">
        <v>534</v>
      </c>
      <c r="E408" s="151"/>
      <c r="F408" s="29" t="s">
        <v>46</v>
      </c>
      <c r="G408" s="11" t="s">
        <v>46</v>
      </c>
      <c r="H408" s="31" t="s">
        <v>46</v>
      </c>
    </row>
    <row r="409" spans="1:8" x14ac:dyDescent="0.25">
      <c r="A409" s="2" t="s">
        <v>535</v>
      </c>
      <c r="B409" s="3" t="s">
        <v>46</v>
      </c>
      <c r="C409" s="3" t="s">
        <v>536</v>
      </c>
      <c r="D409" s="94" t="s">
        <v>537</v>
      </c>
      <c r="E409" s="94"/>
      <c r="F409" s="3" t="s">
        <v>71</v>
      </c>
      <c r="G409" s="25">
        <v>112.068</v>
      </c>
      <c r="H409" s="45">
        <v>0</v>
      </c>
    </row>
    <row r="410" spans="1:8" x14ac:dyDescent="0.25">
      <c r="A410" s="54"/>
      <c r="D410" s="55" t="s">
        <v>2772</v>
      </c>
      <c r="E410" s="171" t="s">
        <v>46</v>
      </c>
      <c r="F410" s="171"/>
      <c r="G410" s="56">
        <v>112.068</v>
      </c>
      <c r="H410" s="57"/>
    </row>
    <row r="411" spans="1:8" x14ac:dyDescent="0.25">
      <c r="A411" s="58" t="s">
        <v>46</v>
      </c>
      <c r="B411" s="29" t="s">
        <v>46</v>
      </c>
      <c r="C411" s="29" t="s">
        <v>539</v>
      </c>
      <c r="D411" s="151" t="s">
        <v>540</v>
      </c>
      <c r="E411" s="151"/>
      <c r="F411" s="29" t="s">
        <v>46</v>
      </c>
      <c r="G411" s="11" t="s">
        <v>46</v>
      </c>
      <c r="H411" s="31" t="s">
        <v>46</v>
      </c>
    </row>
    <row r="412" spans="1:8" x14ac:dyDescent="0.25">
      <c r="A412" s="2" t="s">
        <v>541</v>
      </c>
      <c r="B412" s="3" t="s">
        <v>46</v>
      </c>
      <c r="C412" s="3" t="s">
        <v>542</v>
      </c>
      <c r="D412" s="94" t="s">
        <v>543</v>
      </c>
      <c r="E412" s="94"/>
      <c r="F412" s="3" t="s">
        <v>93</v>
      </c>
      <c r="G412" s="25">
        <v>33.768000000000001</v>
      </c>
      <c r="H412" s="45">
        <v>0</v>
      </c>
    </row>
    <row r="413" spans="1:8" x14ac:dyDescent="0.25">
      <c r="A413" s="54"/>
      <c r="D413" s="55" t="s">
        <v>2773</v>
      </c>
      <c r="E413" s="171" t="s">
        <v>46</v>
      </c>
      <c r="F413" s="171"/>
      <c r="G413" s="56">
        <v>2.948</v>
      </c>
      <c r="H413" s="57"/>
    </row>
    <row r="414" spans="1:8" x14ac:dyDescent="0.25">
      <c r="A414" s="2" t="s">
        <v>46</v>
      </c>
      <c r="B414" s="3" t="s">
        <v>46</v>
      </c>
      <c r="C414" s="3" t="s">
        <v>46</v>
      </c>
      <c r="D414" s="55" t="s">
        <v>2774</v>
      </c>
      <c r="E414" s="171" t="s">
        <v>46</v>
      </c>
      <c r="F414" s="171"/>
      <c r="G414" s="56">
        <v>30.82</v>
      </c>
      <c r="H414" s="26" t="s">
        <v>46</v>
      </c>
    </row>
    <row r="415" spans="1:8" x14ac:dyDescent="0.25">
      <c r="A415" s="2" t="s">
        <v>546</v>
      </c>
      <c r="B415" s="3" t="s">
        <v>46</v>
      </c>
      <c r="C415" s="3" t="s">
        <v>547</v>
      </c>
      <c r="D415" s="94" t="s">
        <v>548</v>
      </c>
      <c r="E415" s="94"/>
      <c r="F415" s="3" t="s">
        <v>93</v>
      </c>
      <c r="G415" s="25">
        <v>30.82</v>
      </c>
      <c r="H415" s="45">
        <v>0</v>
      </c>
    </row>
    <row r="416" spans="1:8" x14ac:dyDescent="0.25">
      <c r="A416" s="54"/>
      <c r="D416" s="55" t="s">
        <v>2774</v>
      </c>
      <c r="E416" s="171" t="s">
        <v>46</v>
      </c>
      <c r="F416" s="171"/>
      <c r="G416" s="56">
        <v>30.82</v>
      </c>
      <c r="H416" s="57"/>
    </row>
    <row r="417" spans="1:8" x14ac:dyDescent="0.25">
      <c r="A417" s="2" t="s">
        <v>549</v>
      </c>
      <c r="B417" s="3" t="s">
        <v>46</v>
      </c>
      <c r="C417" s="3" t="s">
        <v>550</v>
      </c>
      <c r="D417" s="94" t="s">
        <v>551</v>
      </c>
      <c r="E417" s="94"/>
      <c r="F417" s="3" t="s">
        <v>93</v>
      </c>
      <c r="G417" s="25">
        <v>2.948</v>
      </c>
      <c r="H417" s="45">
        <v>0</v>
      </c>
    </row>
    <row r="418" spans="1:8" x14ac:dyDescent="0.25">
      <c r="A418" s="54"/>
      <c r="D418" s="55" t="s">
        <v>2773</v>
      </c>
      <c r="E418" s="171" t="s">
        <v>46</v>
      </c>
      <c r="F418" s="171"/>
      <c r="G418" s="56">
        <v>2.948</v>
      </c>
      <c r="H418" s="57"/>
    </row>
    <row r="419" spans="1:8" x14ac:dyDescent="0.25">
      <c r="A419" s="2" t="s">
        <v>552</v>
      </c>
      <c r="B419" s="3" t="s">
        <v>46</v>
      </c>
      <c r="C419" s="3" t="s">
        <v>553</v>
      </c>
      <c r="D419" s="94" t="s">
        <v>554</v>
      </c>
      <c r="E419" s="94"/>
      <c r="F419" s="3" t="s">
        <v>71</v>
      </c>
      <c r="G419" s="25">
        <v>0.80300000000000005</v>
      </c>
      <c r="H419" s="45">
        <v>0</v>
      </c>
    </row>
    <row r="420" spans="1:8" x14ac:dyDescent="0.25">
      <c r="A420" s="54"/>
      <c r="D420" s="55" t="s">
        <v>2775</v>
      </c>
      <c r="E420" s="171" t="s">
        <v>46</v>
      </c>
      <c r="F420" s="171"/>
      <c r="G420" s="56">
        <v>0.80300000000000005</v>
      </c>
      <c r="H420" s="57"/>
    </row>
    <row r="421" spans="1:8" x14ac:dyDescent="0.25">
      <c r="A421" s="58" t="s">
        <v>46</v>
      </c>
      <c r="B421" s="29" t="s">
        <v>46</v>
      </c>
      <c r="C421" s="29" t="s">
        <v>555</v>
      </c>
      <c r="D421" s="151" t="s">
        <v>556</v>
      </c>
      <c r="E421" s="151"/>
      <c r="F421" s="29" t="s">
        <v>46</v>
      </c>
      <c r="G421" s="11" t="s">
        <v>46</v>
      </c>
      <c r="H421" s="31" t="s">
        <v>46</v>
      </c>
    </row>
    <row r="422" spans="1:8" x14ac:dyDescent="0.25">
      <c r="A422" s="2" t="s">
        <v>557</v>
      </c>
      <c r="B422" s="3" t="s">
        <v>46</v>
      </c>
      <c r="C422" s="3" t="s">
        <v>558</v>
      </c>
      <c r="D422" s="94" t="s">
        <v>559</v>
      </c>
      <c r="E422" s="94"/>
      <c r="F422" s="3" t="s">
        <v>93</v>
      </c>
      <c r="G422" s="25">
        <v>542.68499999999995</v>
      </c>
      <c r="H422" s="45">
        <v>0</v>
      </c>
    </row>
    <row r="423" spans="1:8" x14ac:dyDescent="0.25">
      <c r="A423" s="54"/>
      <c r="D423" s="55" t="s">
        <v>2776</v>
      </c>
      <c r="E423" s="171" t="s">
        <v>46</v>
      </c>
      <c r="F423" s="171"/>
      <c r="G423" s="56">
        <v>542.68499999999995</v>
      </c>
      <c r="H423" s="57"/>
    </row>
    <row r="424" spans="1:8" x14ac:dyDescent="0.25">
      <c r="A424" s="2" t="s">
        <v>561</v>
      </c>
      <c r="B424" s="3" t="s">
        <v>46</v>
      </c>
      <c r="C424" s="3" t="s">
        <v>562</v>
      </c>
      <c r="D424" s="94" t="s">
        <v>563</v>
      </c>
      <c r="E424" s="94"/>
      <c r="F424" s="3" t="s">
        <v>93</v>
      </c>
      <c r="G424" s="25">
        <v>1139.617</v>
      </c>
      <c r="H424" s="45">
        <v>0</v>
      </c>
    </row>
    <row r="425" spans="1:8" x14ac:dyDescent="0.25">
      <c r="A425" s="54"/>
      <c r="D425" s="55" t="s">
        <v>2777</v>
      </c>
      <c r="E425" s="171" t="s">
        <v>46</v>
      </c>
      <c r="F425" s="171"/>
      <c r="G425" s="56">
        <v>1085.3499999999999</v>
      </c>
      <c r="H425" s="57"/>
    </row>
    <row r="426" spans="1:8" x14ac:dyDescent="0.25">
      <c r="A426" s="2" t="s">
        <v>46</v>
      </c>
      <c r="B426" s="3" t="s">
        <v>46</v>
      </c>
      <c r="C426" s="3" t="s">
        <v>46</v>
      </c>
      <c r="D426" s="55" t="s">
        <v>2778</v>
      </c>
      <c r="E426" s="171" t="s">
        <v>46</v>
      </c>
      <c r="F426" s="171"/>
      <c r="G426" s="56">
        <v>54.267000000000003</v>
      </c>
      <c r="H426" s="26" t="s">
        <v>46</v>
      </c>
    </row>
    <row r="427" spans="1:8" x14ac:dyDescent="0.25">
      <c r="A427" s="2" t="s">
        <v>564</v>
      </c>
      <c r="B427" s="3" t="s">
        <v>46</v>
      </c>
      <c r="C427" s="3" t="s">
        <v>565</v>
      </c>
      <c r="D427" s="94" t="s">
        <v>566</v>
      </c>
      <c r="E427" s="94"/>
      <c r="F427" s="3" t="s">
        <v>93</v>
      </c>
      <c r="G427" s="25">
        <v>56</v>
      </c>
      <c r="H427" s="45">
        <v>0</v>
      </c>
    </row>
    <row r="428" spans="1:8" x14ac:dyDescent="0.25">
      <c r="A428" s="54"/>
      <c r="D428" s="55" t="s">
        <v>233</v>
      </c>
      <c r="E428" s="171" t="s">
        <v>46</v>
      </c>
      <c r="F428" s="171"/>
      <c r="G428" s="56">
        <v>56</v>
      </c>
      <c r="H428" s="57"/>
    </row>
    <row r="429" spans="1:8" x14ac:dyDescent="0.25">
      <c r="A429" s="2" t="s">
        <v>567</v>
      </c>
      <c r="B429" s="3" t="s">
        <v>46</v>
      </c>
      <c r="C429" s="3" t="s">
        <v>568</v>
      </c>
      <c r="D429" s="94" t="s">
        <v>569</v>
      </c>
      <c r="E429" s="94"/>
      <c r="F429" s="3" t="s">
        <v>93</v>
      </c>
      <c r="G429" s="25">
        <v>20.663</v>
      </c>
      <c r="H429" s="45">
        <v>0</v>
      </c>
    </row>
    <row r="430" spans="1:8" x14ac:dyDescent="0.25">
      <c r="A430" s="54"/>
      <c r="D430" s="55" t="s">
        <v>2779</v>
      </c>
      <c r="E430" s="171" t="s">
        <v>46</v>
      </c>
      <c r="F430" s="171"/>
      <c r="G430" s="56">
        <v>20.663</v>
      </c>
      <c r="H430" s="57"/>
    </row>
    <row r="431" spans="1:8" x14ac:dyDescent="0.25">
      <c r="A431" s="2" t="s">
        <v>570</v>
      </c>
      <c r="B431" s="3" t="s">
        <v>46</v>
      </c>
      <c r="C431" s="3" t="s">
        <v>571</v>
      </c>
      <c r="D431" s="94" t="s">
        <v>572</v>
      </c>
      <c r="E431" s="94"/>
      <c r="F431" s="3" t="s">
        <v>93</v>
      </c>
      <c r="G431" s="25">
        <v>542.68499999999995</v>
      </c>
      <c r="H431" s="45">
        <v>0</v>
      </c>
    </row>
    <row r="432" spans="1:8" x14ac:dyDescent="0.25">
      <c r="A432" s="54"/>
      <c r="D432" s="55" t="s">
        <v>2780</v>
      </c>
      <c r="E432" s="171" t="s">
        <v>46</v>
      </c>
      <c r="F432" s="171"/>
      <c r="G432" s="56">
        <v>542.68499999999995</v>
      </c>
      <c r="H432" s="57"/>
    </row>
    <row r="433" spans="1:8" x14ac:dyDescent="0.25">
      <c r="A433" s="2" t="s">
        <v>573</v>
      </c>
      <c r="B433" s="3" t="s">
        <v>46</v>
      </c>
      <c r="C433" s="3" t="s">
        <v>574</v>
      </c>
      <c r="D433" s="94" t="s">
        <v>575</v>
      </c>
      <c r="E433" s="94"/>
      <c r="F433" s="3" t="s">
        <v>93</v>
      </c>
      <c r="G433" s="25">
        <v>542.68499999999995</v>
      </c>
      <c r="H433" s="45">
        <v>0</v>
      </c>
    </row>
    <row r="434" spans="1:8" x14ac:dyDescent="0.25">
      <c r="A434" s="54"/>
      <c r="D434" s="55" t="s">
        <v>2780</v>
      </c>
      <c r="E434" s="171" t="s">
        <v>46</v>
      </c>
      <c r="F434" s="171"/>
      <c r="G434" s="56">
        <v>542.68499999999995</v>
      </c>
      <c r="H434" s="57"/>
    </row>
    <row r="435" spans="1:8" x14ac:dyDescent="0.25">
      <c r="A435" s="2" t="s">
        <v>576</v>
      </c>
      <c r="B435" s="3" t="s">
        <v>46</v>
      </c>
      <c r="C435" s="3" t="s">
        <v>577</v>
      </c>
      <c r="D435" s="94" t="s">
        <v>578</v>
      </c>
      <c r="E435" s="94"/>
      <c r="F435" s="3" t="s">
        <v>71</v>
      </c>
      <c r="G435" s="25">
        <v>3.9079999999999999</v>
      </c>
      <c r="H435" s="45">
        <v>0</v>
      </c>
    </row>
    <row r="436" spans="1:8" x14ac:dyDescent="0.25">
      <c r="A436" s="54"/>
      <c r="D436" s="55" t="s">
        <v>2781</v>
      </c>
      <c r="E436" s="171" t="s">
        <v>46</v>
      </c>
      <c r="F436" s="171"/>
      <c r="G436" s="56">
        <v>3.9079999999999999</v>
      </c>
      <c r="H436" s="57"/>
    </row>
    <row r="437" spans="1:8" x14ac:dyDescent="0.25">
      <c r="A437" s="58" t="s">
        <v>46</v>
      </c>
      <c r="B437" s="29" t="s">
        <v>46</v>
      </c>
      <c r="C437" s="29" t="s">
        <v>579</v>
      </c>
      <c r="D437" s="151" t="s">
        <v>580</v>
      </c>
      <c r="E437" s="151"/>
      <c r="F437" s="29" t="s">
        <v>46</v>
      </c>
      <c r="G437" s="11" t="s">
        <v>46</v>
      </c>
      <c r="H437" s="31" t="s">
        <v>46</v>
      </c>
    </row>
    <row r="438" spans="1:8" x14ac:dyDescent="0.25">
      <c r="A438" s="2" t="s">
        <v>581</v>
      </c>
      <c r="B438" s="3" t="s">
        <v>46</v>
      </c>
      <c r="C438" s="3" t="s">
        <v>582</v>
      </c>
      <c r="D438" s="94" t="s">
        <v>583</v>
      </c>
      <c r="E438" s="94"/>
      <c r="F438" s="3" t="s">
        <v>131</v>
      </c>
      <c r="G438" s="25">
        <v>90.84</v>
      </c>
      <c r="H438" s="45">
        <v>0</v>
      </c>
    </row>
    <row r="439" spans="1:8" x14ac:dyDescent="0.25">
      <c r="A439" s="2" t="s">
        <v>586</v>
      </c>
      <c r="B439" s="3" t="s">
        <v>46</v>
      </c>
      <c r="C439" s="3" t="s">
        <v>587</v>
      </c>
      <c r="D439" s="94" t="s">
        <v>588</v>
      </c>
      <c r="E439" s="94"/>
      <c r="F439" s="3" t="s">
        <v>52</v>
      </c>
      <c r="G439" s="25">
        <v>5</v>
      </c>
      <c r="H439" s="45">
        <v>0</v>
      </c>
    </row>
    <row r="440" spans="1:8" x14ac:dyDescent="0.25">
      <c r="A440" s="2" t="s">
        <v>589</v>
      </c>
      <c r="B440" s="3" t="s">
        <v>46</v>
      </c>
      <c r="C440" s="3" t="s">
        <v>590</v>
      </c>
      <c r="D440" s="94" t="s">
        <v>591</v>
      </c>
      <c r="E440" s="94"/>
      <c r="F440" s="3" t="s">
        <v>52</v>
      </c>
      <c r="G440" s="25">
        <v>21</v>
      </c>
      <c r="H440" s="45">
        <v>0</v>
      </c>
    </row>
    <row r="441" spans="1:8" x14ac:dyDescent="0.25">
      <c r="A441" s="2" t="s">
        <v>592</v>
      </c>
      <c r="B441" s="3" t="s">
        <v>46</v>
      </c>
      <c r="C441" s="3" t="s">
        <v>593</v>
      </c>
      <c r="D441" s="94" t="s">
        <v>594</v>
      </c>
      <c r="E441" s="94"/>
      <c r="F441" s="3" t="s">
        <v>52</v>
      </c>
      <c r="G441" s="25">
        <v>8</v>
      </c>
      <c r="H441" s="45">
        <v>0</v>
      </c>
    </row>
    <row r="442" spans="1:8" x14ac:dyDescent="0.25">
      <c r="A442" s="2" t="s">
        <v>595</v>
      </c>
      <c r="B442" s="3" t="s">
        <v>46</v>
      </c>
      <c r="C442" s="3" t="s">
        <v>596</v>
      </c>
      <c r="D442" s="94" t="s">
        <v>597</v>
      </c>
      <c r="E442" s="94"/>
      <c r="F442" s="3" t="s">
        <v>52</v>
      </c>
      <c r="G442" s="25">
        <v>1</v>
      </c>
      <c r="H442" s="45">
        <v>0</v>
      </c>
    </row>
    <row r="443" spans="1:8" x14ac:dyDescent="0.25">
      <c r="A443" s="2" t="s">
        <v>598</v>
      </c>
      <c r="B443" s="3" t="s">
        <v>46</v>
      </c>
      <c r="C443" s="3" t="s">
        <v>599</v>
      </c>
      <c r="D443" s="94" t="s">
        <v>600</v>
      </c>
      <c r="E443" s="94"/>
      <c r="F443" s="3" t="s">
        <v>52</v>
      </c>
      <c r="G443" s="25">
        <v>3</v>
      </c>
      <c r="H443" s="45">
        <v>0</v>
      </c>
    </row>
    <row r="444" spans="1:8" x14ac:dyDescent="0.25">
      <c r="A444" s="2" t="s">
        <v>601</v>
      </c>
      <c r="B444" s="3" t="s">
        <v>46</v>
      </c>
      <c r="C444" s="3" t="s">
        <v>602</v>
      </c>
      <c r="D444" s="94" t="s">
        <v>603</v>
      </c>
      <c r="E444" s="94"/>
      <c r="F444" s="3" t="s">
        <v>52</v>
      </c>
      <c r="G444" s="25">
        <v>2</v>
      </c>
      <c r="H444" s="45">
        <v>0</v>
      </c>
    </row>
    <row r="445" spans="1:8" x14ac:dyDescent="0.25">
      <c r="A445" s="2" t="s">
        <v>604</v>
      </c>
      <c r="B445" s="3" t="s">
        <v>46</v>
      </c>
      <c r="C445" s="3" t="s">
        <v>605</v>
      </c>
      <c r="D445" s="94" t="s">
        <v>606</v>
      </c>
      <c r="E445" s="94"/>
      <c r="F445" s="3" t="s">
        <v>52</v>
      </c>
      <c r="G445" s="25">
        <v>8</v>
      </c>
      <c r="H445" s="45">
        <v>0</v>
      </c>
    </row>
    <row r="446" spans="1:8" x14ac:dyDescent="0.25">
      <c r="A446" s="2" t="s">
        <v>607</v>
      </c>
      <c r="B446" s="3" t="s">
        <v>46</v>
      </c>
      <c r="C446" s="3" t="s">
        <v>608</v>
      </c>
      <c r="D446" s="94" t="s">
        <v>609</v>
      </c>
      <c r="E446" s="94"/>
      <c r="F446" s="3" t="s">
        <v>52</v>
      </c>
      <c r="G446" s="25">
        <v>1</v>
      </c>
      <c r="H446" s="45">
        <v>0</v>
      </c>
    </row>
    <row r="447" spans="1:8" x14ac:dyDescent="0.25">
      <c r="A447" s="2" t="s">
        <v>610</v>
      </c>
      <c r="B447" s="3" t="s">
        <v>46</v>
      </c>
      <c r="C447" s="3" t="s">
        <v>611</v>
      </c>
      <c r="D447" s="94" t="s">
        <v>612</v>
      </c>
      <c r="E447" s="94"/>
      <c r="F447" s="3" t="s">
        <v>52</v>
      </c>
      <c r="G447" s="25">
        <v>2</v>
      </c>
      <c r="H447" s="45">
        <v>0</v>
      </c>
    </row>
    <row r="448" spans="1:8" x14ac:dyDescent="0.25">
      <c r="A448" s="2" t="s">
        <v>613</v>
      </c>
      <c r="B448" s="3" t="s">
        <v>46</v>
      </c>
      <c r="C448" s="3" t="s">
        <v>614</v>
      </c>
      <c r="D448" s="94" t="s">
        <v>615</v>
      </c>
      <c r="E448" s="94"/>
      <c r="F448" s="3" t="s">
        <v>131</v>
      </c>
      <c r="G448" s="25">
        <v>53.94</v>
      </c>
      <c r="H448" s="45">
        <v>0</v>
      </c>
    </row>
    <row r="449" spans="1:8" x14ac:dyDescent="0.25">
      <c r="A449" s="2" t="s">
        <v>616</v>
      </c>
      <c r="B449" s="3" t="s">
        <v>46</v>
      </c>
      <c r="C449" s="3" t="s">
        <v>617</v>
      </c>
      <c r="D449" s="94" t="s">
        <v>618</v>
      </c>
      <c r="E449" s="94"/>
      <c r="F449" s="3" t="s">
        <v>131</v>
      </c>
      <c r="G449" s="25">
        <v>24.5</v>
      </c>
      <c r="H449" s="45">
        <v>0</v>
      </c>
    </row>
    <row r="450" spans="1:8" x14ac:dyDescent="0.25">
      <c r="A450" s="2" t="s">
        <v>619</v>
      </c>
      <c r="B450" s="3" t="s">
        <v>46</v>
      </c>
      <c r="C450" s="3" t="s">
        <v>620</v>
      </c>
      <c r="D450" s="94" t="s">
        <v>621</v>
      </c>
      <c r="E450" s="94"/>
      <c r="F450" s="3" t="s">
        <v>131</v>
      </c>
      <c r="G450" s="25">
        <v>74.3</v>
      </c>
      <c r="H450" s="45">
        <v>0</v>
      </c>
    </row>
    <row r="451" spans="1:8" x14ac:dyDescent="0.25">
      <c r="A451" s="2" t="s">
        <v>622</v>
      </c>
      <c r="B451" s="3" t="s">
        <v>46</v>
      </c>
      <c r="C451" s="3" t="s">
        <v>623</v>
      </c>
      <c r="D451" s="94" t="s">
        <v>624</v>
      </c>
      <c r="E451" s="94"/>
      <c r="F451" s="3" t="s">
        <v>131</v>
      </c>
      <c r="G451" s="25">
        <v>5</v>
      </c>
      <c r="H451" s="45">
        <v>0</v>
      </c>
    </row>
    <row r="452" spans="1:8" x14ac:dyDescent="0.25">
      <c r="A452" s="2" t="s">
        <v>625</v>
      </c>
      <c r="B452" s="3" t="s">
        <v>46</v>
      </c>
      <c r="C452" s="3" t="s">
        <v>626</v>
      </c>
      <c r="D452" s="94" t="s">
        <v>627</v>
      </c>
      <c r="E452" s="94"/>
      <c r="F452" s="3" t="s">
        <v>131</v>
      </c>
      <c r="G452" s="25">
        <v>63</v>
      </c>
      <c r="H452" s="45">
        <v>0</v>
      </c>
    </row>
    <row r="453" spans="1:8" x14ac:dyDescent="0.25">
      <c r="A453" s="2" t="s">
        <v>628</v>
      </c>
      <c r="B453" s="3" t="s">
        <v>46</v>
      </c>
      <c r="C453" s="3" t="s">
        <v>629</v>
      </c>
      <c r="D453" s="94" t="s">
        <v>630</v>
      </c>
      <c r="E453" s="94"/>
      <c r="F453" s="3" t="s">
        <v>131</v>
      </c>
      <c r="G453" s="25">
        <v>8</v>
      </c>
      <c r="H453" s="45">
        <v>0</v>
      </c>
    </row>
    <row r="454" spans="1:8" x14ac:dyDescent="0.25">
      <c r="A454" s="2" t="s">
        <v>631</v>
      </c>
      <c r="B454" s="3" t="s">
        <v>46</v>
      </c>
      <c r="C454" s="3" t="s">
        <v>632</v>
      </c>
      <c r="D454" s="94" t="s">
        <v>633</v>
      </c>
      <c r="E454" s="94"/>
      <c r="F454" s="3" t="s">
        <v>131</v>
      </c>
      <c r="G454" s="25">
        <v>19.5</v>
      </c>
      <c r="H454" s="45">
        <v>0</v>
      </c>
    </row>
    <row r="455" spans="1:8" x14ac:dyDescent="0.25">
      <c r="A455" s="2" t="s">
        <v>634</v>
      </c>
      <c r="B455" s="3" t="s">
        <v>46</v>
      </c>
      <c r="C455" s="3" t="s">
        <v>635</v>
      </c>
      <c r="D455" s="94" t="s">
        <v>636</v>
      </c>
      <c r="E455" s="94"/>
      <c r="F455" s="3" t="s">
        <v>52</v>
      </c>
      <c r="G455" s="25">
        <v>250</v>
      </c>
      <c r="H455" s="45">
        <v>0</v>
      </c>
    </row>
    <row r="456" spans="1:8" x14ac:dyDescent="0.25">
      <c r="A456" s="2" t="s">
        <v>637</v>
      </c>
      <c r="B456" s="3" t="s">
        <v>46</v>
      </c>
      <c r="C456" s="3" t="s">
        <v>638</v>
      </c>
      <c r="D456" s="94" t="s">
        <v>639</v>
      </c>
      <c r="E456" s="94"/>
      <c r="F456" s="3" t="s">
        <v>52</v>
      </c>
      <c r="G456" s="25">
        <v>1</v>
      </c>
      <c r="H456" s="45">
        <v>0</v>
      </c>
    </row>
    <row r="457" spans="1:8" x14ac:dyDescent="0.25">
      <c r="A457" s="2" t="s">
        <v>640</v>
      </c>
      <c r="B457" s="3" t="s">
        <v>46</v>
      </c>
      <c r="C457" s="3" t="s">
        <v>641</v>
      </c>
      <c r="D457" s="94" t="s">
        <v>642</v>
      </c>
      <c r="E457" s="94"/>
      <c r="F457" s="3" t="s">
        <v>52</v>
      </c>
      <c r="G457" s="25">
        <v>3</v>
      </c>
      <c r="H457" s="45">
        <v>0</v>
      </c>
    </row>
    <row r="458" spans="1:8" x14ac:dyDescent="0.25">
      <c r="A458" s="2" t="s">
        <v>643</v>
      </c>
      <c r="B458" s="3" t="s">
        <v>46</v>
      </c>
      <c r="C458" s="3" t="s">
        <v>644</v>
      </c>
      <c r="D458" s="94" t="s">
        <v>645</v>
      </c>
      <c r="E458" s="94"/>
      <c r="F458" s="3" t="s">
        <v>52</v>
      </c>
      <c r="G458" s="25">
        <v>22</v>
      </c>
      <c r="H458" s="45">
        <v>0</v>
      </c>
    </row>
    <row r="459" spans="1:8" x14ac:dyDescent="0.25">
      <c r="A459" s="2" t="s">
        <v>646</v>
      </c>
      <c r="B459" s="3" t="s">
        <v>46</v>
      </c>
      <c r="C459" s="3" t="s">
        <v>647</v>
      </c>
      <c r="D459" s="94" t="s">
        <v>648</v>
      </c>
      <c r="E459" s="94"/>
      <c r="F459" s="3" t="s">
        <v>52</v>
      </c>
      <c r="G459" s="25">
        <v>1</v>
      </c>
      <c r="H459" s="45">
        <v>0</v>
      </c>
    </row>
    <row r="460" spans="1:8" x14ac:dyDescent="0.25">
      <c r="A460" s="2" t="s">
        <v>649</v>
      </c>
      <c r="B460" s="3" t="s">
        <v>46</v>
      </c>
      <c r="C460" s="3" t="s">
        <v>650</v>
      </c>
      <c r="D460" s="94" t="s">
        <v>651</v>
      </c>
      <c r="E460" s="94"/>
      <c r="F460" s="3" t="s">
        <v>52</v>
      </c>
      <c r="G460" s="25">
        <v>5</v>
      </c>
      <c r="H460" s="45">
        <v>0</v>
      </c>
    </row>
    <row r="461" spans="1:8" x14ac:dyDescent="0.25">
      <c r="A461" s="2" t="s">
        <v>652</v>
      </c>
      <c r="B461" s="3" t="s">
        <v>46</v>
      </c>
      <c r="C461" s="3" t="s">
        <v>653</v>
      </c>
      <c r="D461" s="94" t="s">
        <v>654</v>
      </c>
      <c r="E461" s="94"/>
      <c r="F461" s="3" t="s">
        <v>52</v>
      </c>
      <c r="G461" s="25">
        <v>14</v>
      </c>
      <c r="H461" s="45">
        <v>0</v>
      </c>
    </row>
    <row r="462" spans="1:8" x14ac:dyDescent="0.25">
      <c r="A462" s="2" t="s">
        <v>655</v>
      </c>
      <c r="B462" s="3" t="s">
        <v>46</v>
      </c>
      <c r="C462" s="3" t="s">
        <v>656</v>
      </c>
      <c r="D462" s="94" t="s">
        <v>657</v>
      </c>
      <c r="E462" s="94"/>
      <c r="F462" s="3" t="s">
        <v>52</v>
      </c>
      <c r="G462" s="25">
        <v>6</v>
      </c>
      <c r="H462" s="45">
        <v>0</v>
      </c>
    </row>
    <row r="463" spans="1:8" x14ac:dyDescent="0.25">
      <c r="A463" s="2" t="s">
        <v>658</v>
      </c>
      <c r="B463" s="3" t="s">
        <v>46</v>
      </c>
      <c r="C463" s="3" t="s">
        <v>659</v>
      </c>
      <c r="D463" s="94" t="s">
        <v>660</v>
      </c>
      <c r="E463" s="94"/>
      <c r="F463" s="3" t="s">
        <v>52</v>
      </c>
      <c r="G463" s="25">
        <v>6</v>
      </c>
      <c r="H463" s="45">
        <v>0</v>
      </c>
    </row>
    <row r="464" spans="1:8" x14ac:dyDescent="0.25">
      <c r="A464" s="2" t="s">
        <v>661</v>
      </c>
      <c r="B464" s="3" t="s">
        <v>46</v>
      </c>
      <c r="C464" s="3" t="s">
        <v>662</v>
      </c>
      <c r="D464" s="94" t="s">
        <v>663</v>
      </c>
      <c r="E464" s="94"/>
      <c r="F464" s="3" t="s">
        <v>52</v>
      </c>
      <c r="G464" s="25">
        <v>4</v>
      </c>
      <c r="H464" s="45">
        <v>0</v>
      </c>
    </row>
    <row r="465" spans="1:8" x14ac:dyDescent="0.25">
      <c r="A465" s="2" t="s">
        <v>664</v>
      </c>
      <c r="B465" s="3" t="s">
        <v>46</v>
      </c>
      <c r="C465" s="3" t="s">
        <v>665</v>
      </c>
      <c r="D465" s="94" t="s">
        <v>666</v>
      </c>
      <c r="E465" s="94"/>
      <c r="F465" s="3" t="s">
        <v>52</v>
      </c>
      <c r="G465" s="25">
        <v>1</v>
      </c>
      <c r="H465" s="45">
        <v>0</v>
      </c>
    </row>
    <row r="466" spans="1:8" x14ac:dyDescent="0.25">
      <c r="A466" s="2" t="s">
        <v>667</v>
      </c>
      <c r="B466" s="3" t="s">
        <v>46</v>
      </c>
      <c r="C466" s="3" t="s">
        <v>668</v>
      </c>
      <c r="D466" s="94" t="s">
        <v>669</v>
      </c>
      <c r="E466" s="94"/>
      <c r="F466" s="3" t="s">
        <v>52</v>
      </c>
      <c r="G466" s="25">
        <v>12</v>
      </c>
      <c r="H466" s="45">
        <v>0</v>
      </c>
    </row>
    <row r="467" spans="1:8" x14ac:dyDescent="0.25">
      <c r="A467" s="2" t="s">
        <v>670</v>
      </c>
      <c r="B467" s="3" t="s">
        <v>46</v>
      </c>
      <c r="C467" s="3" t="s">
        <v>671</v>
      </c>
      <c r="D467" s="94" t="s">
        <v>672</v>
      </c>
      <c r="E467" s="94"/>
      <c r="F467" s="3" t="s">
        <v>52</v>
      </c>
      <c r="G467" s="25">
        <v>11</v>
      </c>
      <c r="H467" s="45">
        <v>0</v>
      </c>
    </row>
    <row r="468" spans="1:8" x14ac:dyDescent="0.25">
      <c r="A468" s="2" t="s">
        <v>673</v>
      </c>
      <c r="B468" s="3" t="s">
        <v>46</v>
      </c>
      <c r="C468" s="3" t="s">
        <v>674</v>
      </c>
      <c r="D468" s="94" t="s">
        <v>675</v>
      </c>
      <c r="E468" s="94"/>
      <c r="F468" s="3" t="s">
        <v>52</v>
      </c>
      <c r="G468" s="25">
        <v>1</v>
      </c>
      <c r="H468" s="45">
        <v>0</v>
      </c>
    </row>
    <row r="469" spans="1:8" x14ac:dyDescent="0.25">
      <c r="A469" s="2" t="s">
        <v>676</v>
      </c>
      <c r="B469" s="3" t="s">
        <v>46</v>
      </c>
      <c r="C469" s="3" t="s">
        <v>677</v>
      </c>
      <c r="D469" s="94" t="s">
        <v>678</v>
      </c>
      <c r="E469" s="94"/>
      <c r="F469" s="3" t="s">
        <v>52</v>
      </c>
      <c r="G469" s="25">
        <v>1</v>
      </c>
      <c r="H469" s="45">
        <v>0</v>
      </c>
    </row>
    <row r="470" spans="1:8" x14ac:dyDescent="0.25">
      <c r="A470" s="2" t="s">
        <v>679</v>
      </c>
      <c r="B470" s="3" t="s">
        <v>46</v>
      </c>
      <c r="C470" s="3" t="s">
        <v>680</v>
      </c>
      <c r="D470" s="94" t="s">
        <v>681</v>
      </c>
      <c r="E470" s="94"/>
      <c r="F470" s="3" t="s">
        <v>52</v>
      </c>
      <c r="G470" s="25">
        <v>4</v>
      </c>
      <c r="H470" s="45">
        <v>0</v>
      </c>
    </row>
    <row r="471" spans="1:8" x14ac:dyDescent="0.25">
      <c r="A471" s="2" t="s">
        <v>682</v>
      </c>
      <c r="B471" s="3" t="s">
        <v>46</v>
      </c>
      <c r="C471" s="3" t="s">
        <v>683</v>
      </c>
      <c r="D471" s="94" t="s">
        <v>684</v>
      </c>
      <c r="E471" s="94"/>
      <c r="F471" s="3" t="s">
        <v>52</v>
      </c>
      <c r="G471" s="25">
        <v>4</v>
      </c>
      <c r="H471" s="45">
        <v>0</v>
      </c>
    </row>
    <row r="472" spans="1:8" x14ac:dyDescent="0.25">
      <c r="A472" s="2" t="s">
        <v>685</v>
      </c>
      <c r="B472" s="3" t="s">
        <v>46</v>
      </c>
      <c r="C472" s="3" t="s">
        <v>686</v>
      </c>
      <c r="D472" s="94" t="s">
        <v>687</v>
      </c>
      <c r="E472" s="94"/>
      <c r="F472" s="3" t="s">
        <v>52</v>
      </c>
      <c r="G472" s="25">
        <v>1</v>
      </c>
      <c r="H472" s="45">
        <v>0</v>
      </c>
    </row>
    <row r="473" spans="1:8" x14ac:dyDescent="0.25">
      <c r="A473" s="2" t="s">
        <v>688</v>
      </c>
      <c r="B473" s="3" t="s">
        <v>46</v>
      </c>
      <c r="C473" s="3" t="s">
        <v>689</v>
      </c>
      <c r="D473" s="94" t="s">
        <v>690</v>
      </c>
      <c r="E473" s="94"/>
      <c r="F473" s="3" t="s">
        <v>52</v>
      </c>
      <c r="G473" s="25">
        <v>2</v>
      </c>
      <c r="H473" s="45">
        <v>0</v>
      </c>
    </row>
    <row r="474" spans="1:8" x14ac:dyDescent="0.25">
      <c r="A474" s="2" t="s">
        <v>691</v>
      </c>
      <c r="B474" s="3" t="s">
        <v>46</v>
      </c>
      <c r="C474" s="3" t="s">
        <v>692</v>
      </c>
      <c r="D474" s="94" t="s">
        <v>693</v>
      </c>
      <c r="E474" s="94"/>
      <c r="F474" s="3" t="s">
        <v>52</v>
      </c>
      <c r="G474" s="25">
        <v>2</v>
      </c>
      <c r="H474" s="45">
        <v>0</v>
      </c>
    </row>
    <row r="475" spans="1:8" x14ac:dyDescent="0.25">
      <c r="A475" s="2" t="s">
        <v>694</v>
      </c>
      <c r="B475" s="3" t="s">
        <v>46</v>
      </c>
      <c r="C475" s="3" t="s">
        <v>695</v>
      </c>
      <c r="D475" s="94" t="s">
        <v>696</v>
      </c>
      <c r="E475" s="94"/>
      <c r="F475" s="3" t="s">
        <v>52</v>
      </c>
      <c r="G475" s="25">
        <v>2</v>
      </c>
      <c r="H475" s="45">
        <v>0</v>
      </c>
    </row>
    <row r="476" spans="1:8" x14ac:dyDescent="0.25">
      <c r="A476" s="2" t="s">
        <v>697</v>
      </c>
      <c r="B476" s="3" t="s">
        <v>46</v>
      </c>
      <c r="C476" s="3" t="s">
        <v>698</v>
      </c>
      <c r="D476" s="94" t="s">
        <v>699</v>
      </c>
      <c r="E476" s="94"/>
      <c r="F476" s="3" t="s">
        <v>52</v>
      </c>
      <c r="G476" s="25">
        <v>8</v>
      </c>
      <c r="H476" s="45">
        <v>0</v>
      </c>
    </row>
    <row r="477" spans="1:8" x14ac:dyDescent="0.25">
      <c r="A477" s="2" t="s">
        <v>700</v>
      </c>
      <c r="B477" s="3" t="s">
        <v>46</v>
      </c>
      <c r="C477" s="3" t="s">
        <v>701</v>
      </c>
      <c r="D477" s="94" t="s">
        <v>702</v>
      </c>
      <c r="E477" s="94"/>
      <c r="F477" s="3" t="s">
        <v>52</v>
      </c>
      <c r="G477" s="25">
        <v>8</v>
      </c>
      <c r="H477" s="45">
        <v>0</v>
      </c>
    </row>
    <row r="478" spans="1:8" x14ac:dyDescent="0.25">
      <c r="A478" s="2" t="s">
        <v>703</v>
      </c>
      <c r="B478" s="3" t="s">
        <v>46</v>
      </c>
      <c r="C478" s="3" t="s">
        <v>704</v>
      </c>
      <c r="D478" s="94" t="s">
        <v>705</v>
      </c>
      <c r="E478" s="94"/>
      <c r="F478" s="3" t="s">
        <v>52</v>
      </c>
      <c r="G478" s="25">
        <v>4</v>
      </c>
      <c r="H478" s="45">
        <v>0</v>
      </c>
    </row>
    <row r="479" spans="1:8" x14ac:dyDescent="0.25">
      <c r="A479" s="2" t="s">
        <v>706</v>
      </c>
      <c r="B479" s="3" t="s">
        <v>46</v>
      </c>
      <c r="C479" s="3" t="s">
        <v>707</v>
      </c>
      <c r="D479" s="94" t="s">
        <v>708</v>
      </c>
      <c r="E479" s="94"/>
      <c r="F479" s="3" t="s">
        <v>52</v>
      </c>
      <c r="G479" s="25">
        <v>5</v>
      </c>
      <c r="H479" s="45">
        <v>0</v>
      </c>
    </row>
    <row r="480" spans="1:8" x14ac:dyDescent="0.25">
      <c r="A480" s="2" t="s">
        <v>709</v>
      </c>
      <c r="B480" s="3" t="s">
        <v>46</v>
      </c>
      <c r="C480" s="3" t="s">
        <v>710</v>
      </c>
      <c r="D480" s="94" t="s">
        <v>711</v>
      </c>
      <c r="E480" s="94"/>
      <c r="F480" s="3" t="s">
        <v>52</v>
      </c>
      <c r="G480" s="25">
        <v>1</v>
      </c>
      <c r="H480" s="45">
        <v>0</v>
      </c>
    </row>
    <row r="481" spans="1:8" x14ac:dyDescent="0.25">
      <c r="A481" s="2" t="s">
        <v>712</v>
      </c>
      <c r="B481" s="3" t="s">
        <v>46</v>
      </c>
      <c r="C481" s="3" t="s">
        <v>713</v>
      </c>
      <c r="D481" s="94" t="s">
        <v>714</v>
      </c>
      <c r="E481" s="94"/>
      <c r="F481" s="3" t="s">
        <v>52</v>
      </c>
      <c r="G481" s="25">
        <v>1</v>
      </c>
      <c r="H481" s="45">
        <v>0</v>
      </c>
    </row>
    <row r="482" spans="1:8" x14ac:dyDescent="0.25">
      <c r="A482" s="2" t="s">
        <v>715</v>
      </c>
      <c r="B482" s="3" t="s">
        <v>46</v>
      </c>
      <c r="C482" s="3" t="s">
        <v>716</v>
      </c>
      <c r="D482" s="94" t="s">
        <v>717</v>
      </c>
      <c r="E482" s="94"/>
      <c r="F482" s="3" t="s">
        <v>52</v>
      </c>
      <c r="G482" s="25">
        <v>1</v>
      </c>
      <c r="H482" s="45">
        <v>0</v>
      </c>
    </row>
    <row r="483" spans="1:8" x14ac:dyDescent="0.25">
      <c r="A483" s="2" t="s">
        <v>718</v>
      </c>
      <c r="B483" s="3" t="s">
        <v>46</v>
      </c>
      <c r="C483" s="3" t="s">
        <v>719</v>
      </c>
      <c r="D483" s="94" t="s">
        <v>720</v>
      </c>
      <c r="E483" s="94"/>
      <c r="F483" s="3" t="s">
        <v>52</v>
      </c>
      <c r="G483" s="25">
        <v>1</v>
      </c>
      <c r="H483" s="45">
        <v>0</v>
      </c>
    </row>
    <row r="484" spans="1:8" x14ac:dyDescent="0.25">
      <c r="A484" s="2" t="s">
        <v>721</v>
      </c>
      <c r="B484" s="3" t="s">
        <v>46</v>
      </c>
      <c r="C484" s="3" t="s">
        <v>722</v>
      </c>
      <c r="D484" s="94" t="s">
        <v>723</v>
      </c>
      <c r="E484" s="94"/>
      <c r="F484" s="3" t="s">
        <v>52</v>
      </c>
      <c r="G484" s="25">
        <v>1</v>
      </c>
      <c r="H484" s="45">
        <v>0</v>
      </c>
    </row>
    <row r="485" spans="1:8" x14ac:dyDescent="0.25">
      <c r="A485" s="2" t="s">
        <v>724</v>
      </c>
      <c r="B485" s="3" t="s">
        <v>46</v>
      </c>
      <c r="C485" s="3" t="s">
        <v>725</v>
      </c>
      <c r="D485" s="94" t="s">
        <v>726</v>
      </c>
      <c r="E485" s="94"/>
      <c r="F485" s="3" t="s">
        <v>52</v>
      </c>
      <c r="G485" s="25">
        <v>12</v>
      </c>
      <c r="H485" s="45">
        <v>0</v>
      </c>
    </row>
    <row r="486" spans="1:8" x14ac:dyDescent="0.25">
      <c r="A486" s="2" t="s">
        <v>727</v>
      </c>
      <c r="B486" s="3" t="s">
        <v>46</v>
      </c>
      <c r="C486" s="3" t="s">
        <v>728</v>
      </c>
      <c r="D486" s="94" t="s">
        <v>729</v>
      </c>
      <c r="E486" s="94"/>
      <c r="F486" s="3" t="s">
        <v>52</v>
      </c>
      <c r="G486" s="25">
        <v>3</v>
      </c>
      <c r="H486" s="45">
        <v>0</v>
      </c>
    </row>
    <row r="487" spans="1:8" x14ac:dyDescent="0.25">
      <c r="A487" s="2" t="s">
        <v>730</v>
      </c>
      <c r="B487" s="3" t="s">
        <v>46</v>
      </c>
      <c r="C487" s="3" t="s">
        <v>731</v>
      </c>
      <c r="D487" s="94" t="s">
        <v>732</v>
      </c>
      <c r="E487" s="94"/>
      <c r="F487" s="3" t="s">
        <v>52</v>
      </c>
      <c r="G487" s="25">
        <v>5</v>
      </c>
      <c r="H487" s="45">
        <v>0</v>
      </c>
    </row>
    <row r="488" spans="1:8" x14ac:dyDescent="0.25">
      <c r="A488" s="2" t="s">
        <v>733</v>
      </c>
      <c r="B488" s="3" t="s">
        <v>46</v>
      </c>
      <c r="C488" s="3" t="s">
        <v>734</v>
      </c>
      <c r="D488" s="94" t="s">
        <v>735</v>
      </c>
      <c r="E488" s="94"/>
      <c r="F488" s="3" t="s">
        <v>52</v>
      </c>
      <c r="G488" s="25">
        <v>1</v>
      </c>
      <c r="H488" s="45">
        <v>0</v>
      </c>
    </row>
    <row r="489" spans="1:8" x14ac:dyDescent="0.25">
      <c r="A489" s="2" t="s">
        <v>736</v>
      </c>
      <c r="B489" s="3" t="s">
        <v>46</v>
      </c>
      <c r="C489" s="3" t="s">
        <v>737</v>
      </c>
      <c r="D489" s="94" t="s">
        <v>738</v>
      </c>
      <c r="E489" s="94"/>
      <c r="F489" s="3" t="s">
        <v>52</v>
      </c>
      <c r="G489" s="25">
        <v>20</v>
      </c>
      <c r="H489" s="45">
        <v>0</v>
      </c>
    </row>
    <row r="490" spans="1:8" x14ac:dyDescent="0.25">
      <c r="A490" s="2" t="s">
        <v>739</v>
      </c>
      <c r="B490" s="3" t="s">
        <v>46</v>
      </c>
      <c r="C490" s="3" t="s">
        <v>740</v>
      </c>
      <c r="D490" s="94" t="s">
        <v>741</v>
      </c>
      <c r="E490" s="94"/>
      <c r="F490" s="3" t="s">
        <v>52</v>
      </c>
      <c r="G490" s="25">
        <v>3</v>
      </c>
      <c r="H490" s="45">
        <v>0</v>
      </c>
    </row>
    <row r="491" spans="1:8" x14ac:dyDescent="0.25">
      <c r="A491" s="2" t="s">
        <v>742</v>
      </c>
      <c r="B491" s="3" t="s">
        <v>46</v>
      </c>
      <c r="C491" s="3" t="s">
        <v>743</v>
      </c>
      <c r="D491" s="94" t="s">
        <v>744</v>
      </c>
      <c r="E491" s="94"/>
      <c r="F491" s="3" t="s">
        <v>52</v>
      </c>
      <c r="G491" s="25">
        <v>3</v>
      </c>
      <c r="H491" s="45">
        <v>0</v>
      </c>
    </row>
    <row r="492" spans="1:8" x14ac:dyDescent="0.25">
      <c r="A492" s="2" t="s">
        <v>745</v>
      </c>
      <c r="B492" s="3" t="s">
        <v>46</v>
      </c>
      <c r="C492" s="3" t="s">
        <v>746</v>
      </c>
      <c r="D492" s="94" t="s">
        <v>747</v>
      </c>
      <c r="E492" s="94"/>
      <c r="F492" s="3" t="s">
        <v>52</v>
      </c>
      <c r="G492" s="25">
        <v>1</v>
      </c>
      <c r="H492" s="45">
        <v>0</v>
      </c>
    </row>
    <row r="493" spans="1:8" x14ac:dyDescent="0.25">
      <c r="A493" s="2" t="s">
        <v>748</v>
      </c>
      <c r="B493" s="3" t="s">
        <v>46</v>
      </c>
      <c r="C493" s="3" t="s">
        <v>749</v>
      </c>
      <c r="D493" s="94" t="s">
        <v>750</v>
      </c>
      <c r="E493" s="94"/>
      <c r="F493" s="3" t="s">
        <v>52</v>
      </c>
      <c r="G493" s="25">
        <v>17</v>
      </c>
      <c r="H493" s="45">
        <v>0</v>
      </c>
    </row>
    <row r="494" spans="1:8" x14ac:dyDescent="0.25">
      <c r="A494" s="2" t="s">
        <v>751</v>
      </c>
      <c r="B494" s="3" t="s">
        <v>46</v>
      </c>
      <c r="C494" s="3" t="s">
        <v>752</v>
      </c>
      <c r="D494" s="94" t="s">
        <v>753</v>
      </c>
      <c r="E494" s="94"/>
      <c r="F494" s="3" t="s">
        <v>52</v>
      </c>
      <c r="G494" s="25">
        <v>12</v>
      </c>
      <c r="H494" s="45">
        <v>0</v>
      </c>
    </row>
    <row r="495" spans="1:8" x14ac:dyDescent="0.25">
      <c r="A495" s="2" t="s">
        <v>754</v>
      </c>
      <c r="B495" s="3" t="s">
        <v>46</v>
      </c>
      <c r="C495" s="3" t="s">
        <v>755</v>
      </c>
      <c r="D495" s="94" t="s">
        <v>756</v>
      </c>
      <c r="E495" s="94"/>
      <c r="F495" s="3" t="s">
        <v>52</v>
      </c>
      <c r="G495" s="25">
        <v>1</v>
      </c>
      <c r="H495" s="45">
        <v>0</v>
      </c>
    </row>
    <row r="496" spans="1:8" x14ac:dyDescent="0.25">
      <c r="A496" s="2" t="s">
        <v>757</v>
      </c>
      <c r="B496" s="3" t="s">
        <v>46</v>
      </c>
      <c r="C496" s="3" t="s">
        <v>758</v>
      </c>
      <c r="D496" s="94" t="s">
        <v>759</v>
      </c>
      <c r="E496" s="94"/>
      <c r="F496" s="3" t="s">
        <v>52</v>
      </c>
      <c r="G496" s="25">
        <v>1</v>
      </c>
      <c r="H496" s="45">
        <v>0</v>
      </c>
    </row>
    <row r="497" spans="1:8" x14ac:dyDescent="0.25">
      <c r="A497" s="2" t="s">
        <v>760</v>
      </c>
      <c r="B497" s="3" t="s">
        <v>46</v>
      </c>
      <c r="C497" s="3" t="s">
        <v>761</v>
      </c>
      <c r="D497" s="94" t="s">
        <v>762</v>
      </c>
      <c r="E497" s="94"/>
      <c r="F497" s="3" t="s">
        <v>52</v>
      </c>
      <c r="G497" s="25">
        <v>1</v>
      </c>
      <c r="H497" s="45">
        <v>0</v>
      </c>
    </row>
    <row r="498" spans="1:8" x14ac:dyDescent="0.25">
      <c r="A498" s="2" t="s">
        <v>763</v>
      </c>
      <c r="B498" s="3" t="s">
        <v>46</v>
      </c>
      <c r="C498" s="3" t="s">
        <v>764</v>
      </c>
      <c r="D498" s="94" t="s">
        <v>765</v>
      </c>
      <c r="E498" s="94"/>
      <c r="F498" s="3" t="s">
        <v>52</v>
      </c>
      <c r="G498" s="25">
        <v>2</v>
      </c>
      <c r="H498" s="45">
        <v>0</v>
      </c>
    </row>
    <row r="499" spans="1:8" x14ac:dyDescent="0.25">
      <c r="A499" s="2" t="s">
        <v>766</v>
      </c>
      <c r="B499" s="3" t="s">
        <v>46</v>
      </c>
      <c r="C499" s="3" t="s">
        <v>767</v>
      </c>
      <c r="D499" s="94" t="s">
        <v>768</v>
      </c>
      <c r="E499" s="94"/>
      <c r="F499" s="3" t="s">
        <v>52</v>
      </c>
      <c r="G499" s="25">
        <v>2</v>
      </c>
      <c r="H499" s="45">
        <v>0</v>
      </c>
    </row>
    <row r="500" spans="1:8" x14ac:dyDescent="0.25">
      <c r="A500" s="2" t="s">
        <v>769</v>
      </c>
      <c r="B500" s="3" t="s">
        <v>46</v>
      </c>
      <c r="C500" s="3" t="s">
        <v>770</v>
      </c>
      <c r="D500" s="94" t="s">
        <v>771</v>
      </c>
      <c r="E500" s="94"/>
      <c r="F500" s="3" t="s">
        <v>52</v>
      </c>
      <c r="G500" s="25">
        <v>1</v>
      </c>
      <c r="H500" s="45">
        <v>0</v>
      </c>
    </row>
    <row r="501" spans="1:8" x14ac:dyDescent="0.25">
      <c r="A501" s="2" t="s">
        <v>772</v>
      </c>
      <c r="B501" s="3" t="s">
        <v>46</v>
      </c>
      <c r="C501" s="3" t="s">
        <v>773</v>
      </c>
      <c r="D501" s="94" t="s">
        <v>774</v>
      </c>
      <c r="E501" s="94"/>
      <c r="F501" s="3" t="s">
        <v>52</v>
      </c>
      <c r="G501" s="25">
        <v>15</v>
      </c>
      <c r="H501" s="45">
        <v>0</v>
      </c>
    </row>
    <row r="502" spans="1:8" x14ac:dyDescent="0.25">
      <c r="A502" s="2" t="s">
        <v>775</v>
      </c>
      <c r="B502" s="3" t="s">
        <v>46</v>
      </c>
      <c r="C502" s="3" t="s">
        <v>776</v>
      </c>
      <c r="D502" s="94" t="s">
        <v>777</v>
      </c>
      <c r="E502" s="94"/>
      <c r="F502" s="3" t="s">
        <v>52</v>
      </c>
      <c r="G502" s="25">
        <v>6</v>
      </c>
      <c r="H502" s="45">
        <v>0</v>
      </c>
    </row>
    <row r="503" spans="1:8" x14ac:dyDescent="0.25">
      <c r="A503" s="2" t="s">
        <v>778</v>
      </c>
      <c r="B503" s="3" t="s">
        <v>46</v>
      </c>
      <c r="C503" s="3" t="s">
        <v>779</v>
      </c>
      <c r="D503" s="94" t="s">
        <v>780</v>
      </c>
      <c r="E503" s="94"/>
      <c r="F503" s="3" t="s">
        <v>52</v>
      </c>
      <c r="G503" s="25">
        <v>34</v>
      </c>
      <c r="H503" s="45">
        <v>0</v>
      </c>
    </row>
    <row r="504" spans="1:8" x14ac:dyDescent="0.25">
      <c r="A504" s="2" t="s">
        <v>781</v>
      </c>
      <c r="B504" s="3" t="s">
        <v>46</v>
      </c>
      <c r="C504" s="3" t="s">
        <v>782</v>
      </c>
      <c r="D504" s="94" t="s">
        <v>783</v>
      </c>
      <c r="E504" s="94"/>
      <c r="F504" s="3" t="s">
        <v>52</v>
      </c>
      <c r="G504" s="25">
        <v>55</v>
      </c>
      <c r="H504" s="45">
        <v>0</v>
      </c>
    </row>
    <row r="505" spans="1:8" x14ac:dyDescent="0.25">
      <c r="A505" s="2" t="s">
        <v>784</v>
      </c>
      <c r="B505" s="3" t="s">
        <v>46</v>
      </c>
      <c r="C505" s="3" t="s">
        <v>785</v>
      </c>
      <c r="D505" s="94" t="s">
        <v>786</v>
      </c>
      <c r="E505" s="94"/>
      <c r="F505" s="3" t="s">
        <v>131</v>
      </c>
      <c r="G505" s="25">
        <v>15</v>
      </c>
      <c r="H505" s="45">
        <v>0</v>
      </c>
    </row>
    <row r="506" spans="1:8" x14ac:dyDescent="0.25">
      <c r="A506" s="2" t="s">
        <v>787</v>
      </c>
      <c r="B506" s="3" t="s">
        <v>46</v>
      </c>
      <c r="C506" s="3" t="s">
        <v>788</v>
      </c>
      <c r="D506" s="94" t="s">
        <v>789</v>
      </c>
      <c r="E506" s="94"/>
      <c r="F506" s="3" t="s">
        <v>52</v>
      </c>
      <c r="G506" s="25">
        <v>40</v>
      </c>
      <c r="H506" s="45">
        <v>0</v>
      </c>
    </row>
    <row r="507" spans="1:8" x14ac:dyDescent="0.25">
      <c r="A507" s="2" t="s">
        <v>790</v>
      </c>
      <c r="B507" s="3" t="s">
        <v>46</v>
      </c>
      <c r="C507" s="3" t="s">
        <v>791</v>
      </c>
      <c r="D507" s="94" t="s">
        <v>792</v>
      </c>
      <c r="E507" s="94"/>
      <c r="F507" s="3" t="s">
        <v>52</v>
      </c>
      <c r="G507" s="25">
        <v>22</v>
      </c>
      <c r="H507" s="45">
        <v>0</v>
      </c>
    </row>
    <row r="508" spans="1:8" x14ac:dyDescent="0.25">
      <c r="A508" s="2" t="s">
        <v>793</v>
      </c>
      <c r="B508" s="3" t="s">
        <v>46</v>
      </c>
      <c r="C508" s="3" t="s">
        <v>794</v>
      </c>
      <c r="D508" s="94" t="s">
        <v>795</v>
      </c>
      <c r="E508" s="94"/>
      <c r="F508" s="3" t="s">
        <v>796</v>
      </c>
      <c r="G508" s="25">
        <v>250</v>
      </c>
      <c r="H508" s="45">
        <v>0</v>
      </c>
    </row>
    <row r="509" spans="1:8" x14ac:dyDescent="0.25">
      <c r="A509" s="2" t="s">
        <v>797</v>
      </c>
      <c r="B509" s="3" t="s">
        <v>46</v>
      </c>
      <c r="C509" s="3" t="s">
        <v>798</v>
      </c>
      <c r="D509" s="94" t="s">
        <v>799</v>
      </c>
      <c r="E509" s="94"/>
      <c r="F509" s="3" t="s">
        <v>131</v>
      </c>
      <c r="G509" s="25">
        <v>78.400000000000006</v>
      </c>
      <c r="H509" s="45">
        <v>0</v>
      </c>
    </row>
    <row r="510" spans="1:8" x14ac:dyDescent="0.25">
      <c r="A510" s="2" t="s">
        <v>800</v>
      </c>
      <c r="B510" s="3" t="s">
        <v>46</v>
      </c>
      <c r="C510" s="3" t="s">
        <v>801</v>
      </c>
      <c r="D510" s="94" t="s">
        <v>802</v>
      </c>
      <c r="E510" s="94"/>
      <c r="F510" s="3" t="s">
        <v>131</v>
      </c>
      <c r="G510" s="25">
        <v>74.3</v>
      </c>
      <c r="H510" s="45">
        <v>0</v>
      </c>
    </row>
    <row r="511" spans="1:8" x14ac:dyDescent="0.25">
      <c r="A511" s="2" t="s">
        <v>803</v>
      </c>
      <c r="B511" s="3" t="s">
        <v>46</v>
      </c>
      <c r="C511" s="3" t="s">
        <v>804</v>
      </c>
      <c r="D511" s="94" t="s">
        <v>805</v>
      </c>
      <c r="E511" s="94"/>
      <c r="F511" s="3" t="s">
        <v>131</v>
      </c>
      <c r="G511" s="25">
        <v>5</v>
      </c>
      <c r="H511" s="45">
        <v>0</v>
      </c>
    </row>
    <row r="512" spans="1:8" x14ac:dyDescent="0.25">
      <c r="A512" s="2" t="s">
        <v>806</v>
      </c>
      <c r="B512" s="3" t="s">
        <v>46</v>
      </c>
      <c r="C512" s="3" t="s">
        <v>807</v>
      </c>
      <c r="D512" s="94" t="s">
        <v>808</v>
      </c>
      <c r="E512" s="94"/>
      <c r="F512" s="3" t="s">
        <v>131</v>
      </c>
      <c r="G512" s="25">
        <v>63</v>
      </c>
      <c r="H512" s="45">
        <v>0</v>
      </c>
    </row>
    <row r="513" spans="1:8" x14ac:dyDescent="0.25">
      <c r="A513" s="2" t="s">
        <v>809</v>
      </c>
      <c r="B513" s="3" t="s">
        <v>46</v>
      </c>
      <c r="C513" s="3" t="s">
        <v>810</v>
      </c>
      <c r="D513" s="94" t="s">
        <v>811</v>
      </c>
      <c r="E513" s="94"/>
      <c r="F513" s="3" t="s">
        <v>131</v>
      </c>
      <c r="G513" s="25">
        <v>75</v>
      </c>
      <c r="H513" s="45">
        <v>0</v>
      </c>
    </row>
    <row r="514" spans="1:8" x14ac:dyDescent="0.25">
      <c r="A514" s="2" t="s">
        <v>812</v>
      </c>
      <c r="B514" s="3" t="s">
        <v>46</v>
      </c>
      <c r="C514" s="3" t="s">
        <v>813</v>
      </c>
      <c r="D514" s="94" t="s">
        <v>814</v>
      </c>
      <c r="E514" s="94"/>
      <c r="F514" s="3" t="s">
        <v>52</v>
      </c>
      <c r="G514" s="25">
        <v>15</v>
      </c>
      <c r="H514" s="45">
        <v>0</v>
      </c>
    </row>
    <row r="515" spans="1:8" x14ac:dyDescent="0.25">
      <c r="A515" s="2" t="s">
        <v>815</v>
      </c>
      <c r="B515" s="3" t="s">
        <v>46</v>
      </c>
      <c r="C515" s="3" t="s">
        <v>816</v>
      </c>
      <c r="D515" s="94" t="s">
        <v>817</v>
      </c>
      <c r="E515" s="94"/>
      <c r="F515" s="3" t="s">
        <v>131</v>
      </c>
      <c r="G515" s="25">
        <v>200</v>
      </c>
      <c r="H515" s="45">
        <v>0</v>
      </c>
    </row>
    <row r="516" spans="1:8" x14ac:dyDescent="0.25">
      <c r="A516" s="2" t="s">
        <v>818</v>
      </c>
      <c r="B516" s="3" t="s">
        <v>46</v>
      </c>
      <c r="C516" s="3" t="s">
        <v>819</v>
      </c>
      <c r="D516" s="94" t="s">
        <v>820</v>
      </c>
      <c r="E516" s="94"/>
      <c r="F516" s="3" t="s">
        <v>131</v>
      </c>
      <c r="G516" s="25">
        <v>200</v>
      </c>
      <c r="H516" s="45">
        <v>0</v>
      </c>
    </row>
    <row r="517" spans="1:8" x14ac:dyDescent="0.25">
      <c r="A517" s="2" t="s">
        <v>821</v>
      </c>
      <c r="B517" s="3" t="s">
        <v>46</v>
      </c>
      <c r="C517" s="3" t="s">
        <v>822</v>
      </c>
      <c r="D517" s="94" t="s">
        <v>823</v>
      </c>
      <c r="E517" s="94"/>
      <c r="F517" s="3" t="s">
        <v>131</v>
      </c>
      <c r="G517" s="25">
        <v>200</v>
      </c>
      <c r="H517" s="45">
        <v>0</v>
      </c>
    </row>
    <row r="518" spans="1:8" x14ac:dyDescent="0.25">
      <c r="A518" s="2" t="s">
        <v>824</v>
      </c>
      <c r="B518" s="3" t="s">
        <v>46</v>
      </c>
      <c r="C518" s="3" t="s">
        <v>825</v>
      </c>
      <c r="D518" s="94" t="s">
        <v>826</v>
      </c>
      <c r="E518" s="94"/>
      <c r="F518" s="3" t="s">
        <v>796</v>
      </c>
      <c r="G518" s="25">
        <v>120</v>
      </c>
      <c r="H518" s="45">
        <v>0</v>
      </c>
    </row>
    <row r="519" spans="1:8" x14ac:dyDescent="0.25">
      <c r="A519" s="2" t="s">
        <v>827</v>
      </c>
      <c r="B519" s="3" t="s">
        <v>46</v>
      </c>
      <c r="C519" s="3" t="s">
        <v>828</v>
      </c>
      <c r="D519" s="94" t="s">
        <v>829</v>
      </c>
      <c r="E519" s="94"/>
      <c r="F519" s="3" t="s">
        <v>52</v>
      </c>
      <c r="G519" s="25">
        <v>1</v>
      </c>
      <c r="H519" s="45">
        <v>0</v>
      </c>
    </row>
    <row r="520" spans="1:8" x14ac:dyDescent="0.25">
      <c r="A520" s="2" t="s">
        <v>830</v>
      </c>
      <c r="B520" s="3" t="s">
        <v>46</v>
      </c>
      <c r="C520" s="3" t="s">
        <v>831</v>
      </c>
      <c r="D520" s="94" t="s">
        <v>832</v>
      </c>
      <c r="E520" s="94"/>
      <c r="F520" s="3" t="s">
        <v>52</v>
      </c>
      <c r="G520" s="25">
        <v>1</v>
      </c>
      <c r="H520" s="45">
        <v>0</v>
      </c>
    </row>
    <row r="521" spans="1:8" x14ac:dyDescent="0.25">
      <c r="A521" s="2" t="s">
        <v>833</v>
      </c>
      <c r="B521" s="3" t="s">
        <v>46</v>
      </c>
      <c r="C521" s="3" t="s">
        <v>834</v>
      </c>
      <c r="D521" s="94" t="s">
        <v>835</v>
      </c>
      <c r="E521" s="94"/>
      <c r="F521" s="3" t="s">
        <v>52</v>
      </c>
      <c r="G521" s="25">
        <v>1</v>
      </c>
      <c r="H521" s="45">
        <v>0</v>
      </c>
    </row>
    <row r="522" spans="1:8" x14ac:dyDescent="0.25">
      <c r="A522" s="58" t="s">
        <v>46</v>
      </c>
      <c r="B522" s="29" t="s">
        <v>46</v>
      </c>
      <c r="C522" s="29" t="s">
        <v>836</v>
      </c>
      <c r="D522" s="151" t="s">
        <v>837</v>
      </c>
      <c r="E522" s="151"/>
      <c r="F522" s="29" t="s">
        <v>46</v>
      </c>
      <c r="G522" s="11" t="s">
        <v>46</v>
      </c>
      <c r="H522" s="31" t="s">
        <v>46</v>
      </c>
    </row>
    <row r="523" spans="1:8" x14ac:dyDescent="0.25">
      <c r="A523" s="2" t="s">
        <v>838</v>
      </c>
      <c r="B523" s="3" t="s">
        <v>46</v>
      </c>
      <c r="C523" s="3" t="s">
        <v>839</v>
      </c>
      <c r="D523" s="94" t="s">
        <v>840</v>
      </c>
      <c r="E523" s="94"/>
      <c r="F523" s="3" t="s">
        <v>131</v>
      </c>
      <c r="G523" s="25">
        <v>167.2</v>
      </c>
      <c r="H523" s="45">
        <v>0</v>
      </c>
    </row>
    <row r="524" spans="1:8" x14ac:dyDescent="0.25">
      <c r="A524" s="2" t="s">
        <v>842</v>
      </c>
      <c r="B524" s="3" t="s">
        <v>46</v>
      </c>
      <c r="C524" s="3" t="s">
        <v>843</v>
      </c>
      <c r="D524" s="94" t="s">
        <v>844</v>
      </c>
      <c r="E524" s="94"/>
      <c r="F524" s="3" t="s">
        <v>52</v>
      </c>
      <c r="G524" s="25">
        <v>5</v>
      </c>
      <c r="H524" s="45">
        <v>0</v>
      </c>
    </row>
    <row r="525" spans="1:8" x14ac:dyDescent="0.25">
      <c r="A525" s="2" t="s">
        <v>845</v>
      </c>
      <c r="B525" s="3" t="s">
        <v>46</v>
      </c>
      <c r="C525" s="3" t="s">
        <v>846</v>
      </c>
      <c r="D525" s="94" t="s">
        <v>847</v>
      </c>
      <c r="E525" s="94"/>
      <c r="F525" s="3" t="s">
        <v>52</v>
      </c>
      <c r="G525" s="25">
        <v>20</v>
      </c>
      <c r="H525" s="45">
        <v>0</v>
      </c>
    </row>
    <row r="526" spans="1:8" x14ac:dyDescent="0.25">
      <c r="A526" s="2" t="s">
        <v>848</v>
      </c>
      <c r="B526" s="3" t="s">
        <v>46</v>
      </c>
      <c r="C526" s="3" t="s">
        <v>849</v>
      </c>
      <c r="D526" s="94" t="s">
        <v>850</v>
      </c>
      <c r="E526" s="94"/>
      <c r="F526" s="3" t="s">
        <v>52</v>
      </c>
      <c r="G526" s="25">
        <v>8</v>
      </c>
      <c r="H526" s="45">
        <v>0</v>
      </c>
    </row>
    <row r="527" spans="1:8" x14ac:dyDescent="0.25">
      <c r="A527" s="2" t="s">
        <v>851</v>
      </c>
      <c r="B527" s="3" t="s">
        <v>46</v>
      </c>
      <c r="C527" s="3" t="s">
        <v>852</v>
      </c>
      <c r="D527" s="94" t="s">
        <v>853</v>
      </c>
      <c r="E527" s="94"/>
      <c r="F527" s="3" t="s">
        <v>52</v>
      </c>
      <c r="G527" s="25">
        <v>6</v>
      </c>
      <c r="H527" s="45">
        <v>0</v>
      </c>
    </row>
    <row r="528" spans="1:8" x14ac:dyDescent="0.25">
      <c r="A528" s="2" t="s">
        <v>854</v>
      </c>
      <c r="B528" s="3" t="s">
        <v>46</v>
      </c>
      <c r="C528" s="3" t="s">
        <v>855</v>
      </c>
      <c r="D528" s="94" t="s">
        <v>856</v>
      </c>
      <c r="E528" s="94"/>
      <c r="F528" s="3" t="s">
        <v>52</v>
      </c>
      <c r="G528" s="25">
        <v>1</v>
      </c>
      <c r="H528" s="45">
        <v>0</v>
      </c>
    </row>
    <row r="529" spans="1:8" x14ac:dyDescent="0.25">
      <c r="A529" s="2" t="s">
        <v>857</v>
      </c>
      <c r="B529" s="3" t="s">
        <v>46</v>
      </c>
      <c r="C529" s="3" t="s">
        <v>858</v>
      </c>
      <c r="D529" s="94" t="s">
        <v>859</v>
      </c>
      <c r="E529" s="94"/>
      <c r="F529" s="3" t="s">
        <v>52</v>
      </c>
      <c r="G529" s="25">
        <v>1</v>
      </c>
      <c r="H529" s="45">
        <v>0</v>
      </c>
    </row>
    <row r="530" spans="1:8" x14ac:dyDescent="0.25">
      <c r="A530" s="2" t="s">
        <v>860</v>
      </c>
      <c r="B530" s="3" t="s">
        <v>46</v>
      </c>
      <c r="C530" s="3" t="s">
        <v>861</v>
      </c>
      <c r="D530" s="94" t="s">
        <v>862</v>
      </c>
      <c r="E530" s="94"/>
      <c r="F530" s="3" t="s">
        <v>52</v>
      </c>
      <c r="G530" s="25">
        <v>2</v>
      </c>
      <c r="H530" s="45">
        <v>0</v>
      </c>
    </row>
    <row r="531" spans="1:8" x14ac:dyDescent="0.25">
      <c r="A531" s="2" t="s">
        <v>863</v>
      </c>
      <c r="B531" s="3" t="s">
        <v>46</v>
      </c>
      <c r="C531" s="3" t="s">
        <v>867</v>
      </c>
      <c r="D531" s="94" t="s">
        <v>868</v>
      </c>
      <c r="E531" s="94"/>
      <c r="F531" s="3" t="s">
        <v>52</v>
      </c>
      <c r="G531" s="25">
        <v>2</v>
      </c>
      <c r="H531" s="45">
        <v>0</v>
      </c>
    </row>
    <row r="532" spans="1:8" x14ac:dyDescent="0.25">
      <c r="A532" s="2" t="s">
        <v>866</v>
      </c>
      <c r="B532" s="3" t="s">
        <v>46</v>
      </c>
      <c r="C532" s="3" t="s">
        <v>870</v>
      </c>
      <c r="D532" s="94" t="s">
        <v>871</v>
      </c>
      <c r="E532" s="94"/>
      <c r="F532" s="3" t="s">
        <v>131</v>
      </c>
      <c r="G532" s="25">
        <v>184.9</v>
      </c>
      <c r="H532" s="45">
        <v>0</v>
      </c>
    </row>
    <row r="533" spans="1:8" x14ac:dyDescent="0.25">
      <c r="A533" s="2" t="s">
        <v>869</v>
      </c>
      <c r="B533" s="3" t="s">
        <v>46</v>
      </c>
      <c r="C533" s="3" t="s">
        <v>873</v>
      </c>
      <c r="D533" s="94" t="s">
        <v>874</v>
      </c>
      <c r="E533" s="94"/>
      <c r="F533" s="3" t="s">
        <v>131</v>
      </c>
      <c r="G533" s="25">
        <v>272.10000000000002</v>
      </c>
      <c r="H533" s="45">
        <v>0</v>
      </c>
    </row>
    <row r="534" spans="1:8" x14ac:dyDescent="0.25">
      <c r="A534" s="2" t="s">
        <v>872</v>
      </c>
      <c r="B534" s="3" t="s">
        <v>46</v>
      </c>
      <c r="C534" s="3" t="s">
        <v>876</v>
      </c>
      <c r="D534" s="94" t="s">
        <v>877</v>
      </c>
      <c r="E534" s="94"/>
      <c r="F534" s="3" t="s">
        <v>131</v>
      </c>
      <c r="G534" s="25">
        <v>119.9</v>
      </c>
      <c r="H534" s="45">
        <v>0</v>
      </c>
    </row>
    <row r="535" spans="1:8" x14ac:dyDescent="0.25">
      <c r="A535" s="2" t="s">
        <v>875</v>
      </c>
      <c r="B535" s="3" t="s">
        <v>46</v>
      </c>
      <c r="C535" s="3" t="s">
        <v>879</v>
      </c>
      <c r="D535" s="94" t="s">
        <v>880</v>
      </c>
      <c r="E535" s="94"/>
      <c r="F535" s="3" t="s">
        <v>131</v>
      </c>
      <c r="G535" s="25">
        <v>264.60000000000002</v>
      </c>
      <c r="H535" s="45">
        <v>0</v>
      </c>
    </row>
    <row r="536" spans="1:8" x14ac:dyDescent="0.25">
      <c r="A536" s="2" t="s">
        <v>878</v>
      </c>
      <c r="B536" s="3" t="s">
        <v>46</v>
      </c>
      <c r="C536" s="3" t="s">
        <v>882</v>
      </c>
      <c r="D536" s="94" t="s">
        <v>883</v>
      </c>
      <c r="E536" s="94"/>
      <c r="F536" s="3" t="s">
        <v>131</v>
      </c>
      <c r="G536" s="25">
        <v>65.099999999999994</v>
      </c>
      <c r="H536" s="45">
        <v>0</v>
      </c>
    </row>
    <row r="537" spans="1:8" x14ac:dyDescent="0.25">
      <c r="A537" s="2" t="s">
        <v>881</v>
      </c>
      <c r="B537" s="3" t="s">
        <v>46</v>
      </c>
      <c r="C537" s="3" t="s">
        <v>885</v>
      </c>
      <c r="D537" s="94" t="s">
        <v>886</v>
      </c>
      <c r="E537" s="94"/>
      <c r="F537" s="3" t="s">
        <v>131</v>
      </c>
      <c r="G537" s="25">
        <v>7.5</v>
      </c>
      <c r="H537" s="45">
        <v>0</v>
      </c>
    </row>
    <row r="538" spans="1:8" x14ac:dyDescent="0.25">
      <c r="A538" s="2" t="s">
        <v>884</v>
      </c>
      <c r="B538" s="3" t="s">
        <v>46</v>
      </c>
      <c r="C538" s="3" t="s">
        <v>888</v>
      </c>
      <c r="D538" s="94" t="s">
        <v>889</v>
      </c>
      <c r="E538" s="94"/>
      <c r="F538" s="3" t="s">
        <v>52</v>
      </c>
      <c r="G538" s="25">
        <v>4</v>
      </c>
      <c r="H538" s="45">
        <v>0</v>
      </c>
    </row>
    <row r="539" spans="1:8" x14ac:dyDescent="0.25">
      <c r="A539" s="2" t="s">
        <v>887</v>
      </c>
      <c r="B539" s="3" t="s">
        <v>46</v>
      </c>
      <c r="C539" s="3" t="s">
        <v>891</v>
      </c>
      <c r="D539" s="94" t="s">
        <v>892</v>
      </c>
      <c r="E539" s="94"/>
      <c r="F539" s="3" t="s">
        <v>52</v>
      </c>
      <c r="G539" s="25">
        <v>1</v>
      </c>
      <c r="H539" s="45">
        <v>0</v>
      </c>
    </row>
    <row r="540" spans="1:8" x14ac:dyDescent="0.25">
      <c r="A540" s="2" t="s">
        <v>890</v>
      </c>
      <c r="B540" s="3" t="s">
        <v>46</v>
      </c>
      <c r="C540" s="3" t="s">
        <v>894</v>
      </c>
      <c r="D540" s="94" t="s">
        <v>895</v>
      </c>
      <c r="E540" s="94"/>
      <c r="F540" s="3" t="s">
        <v>52</v>
      </c>
      <c r="G540" s="25">
        <v>17</v>
      </c>
      <c r="H540" s="45">
        <v>0</v>
      </c>
    </row>
    <row r="541" spans="1:8" x14ac:dyDescent="0.25">
      <c r="A541" s="2" t="s">
        <v>893</v>
      </c>
      <c r="B541" s="3" t="s">
        <v>46</v>
      </c>
      <c r="C541" s="3" t="s">
        <v>897</v>
      </c>
      <c r="D541" s="94" t="s">
        <v>898</v>
      </c>
      <c r="E541" s="94"/>
      <c r="F541" s="3" t="s">
        <v>52</v>
      </c>
      <c r="G541" s="25">
        <v>1</v>
      </c>
      <c r="H541" s="45">
        <v>0</v>
      </c>
    </row>
    <row r="542" spans="1:8" x14ac:dyDescent="0.25">
      <c r="A542" s="2" t="s">
        <v>896</v>
      </c>
      <c r="B542" s="3" t="s">
        <v>46</v>
      </c>
      <c r="C542" s="3" t="s">
        <v>900</v>
      </c>
      <c r="D542" s="94" t="s">
        <v>901</v>
      </c>
      <c r="E542" s="94"/>
      <c r="F542" s="3" t="s">
        <v>52</v>
      </c>
      <c r="G542" s="25">
        <v>8</v>
      </c>
      <c r="H542" s="45">
        <v>0</v>
      </c>
    </row>
    <row r="543" spans="1:8" x14ac:dyDescent="0.25">
      <c r="A543" s="2" t="s">
        <v>899</v>
      </c>
      <c r="B543" s="3" t="s">
        <v>46</v>
      </c>
      <c r="C543" s="3" t="s">
        <v>903</v>
      </c>
      <c r="D543" s="94" t="s">
        <v>904</v>
      </c>
      <c r="E543" s="94"/>
      <c r="F543" s="3" t="s">
        <v>52</v>
      </c>
      <c r="G543" s="25">
        <v>4</v>
      </c>
      <c r="H543" s="45">
        <v>0</v>
      </c>
    </row>
    <row r="544" spans="1:8" x14ac:dyDescent="0.25">
      <c r="A544" s="2" t="s">
        <v>902</v>
      </c>
      <c r="B544" s="3" t="s">
        <v>46</v>
      </c>
      <c r="C544" s="3" t="s">
        <v>906</v>
      </c>
      <c r="D544" s="94" t="s">
        <v>907</v>
      </c>
      <c r="E544" s="94"/>
      <c r="F544" s="3" t="s">
        <v>52</v>
      </c>
      <c r="G544" s="25">
        <v>1</v>
      </c>
      <c r="H544" s="45">
        <v>0</v>
      </c>
    </row>
    <row r="545" spans="1:8" x14ac:dyDescent="0.25">
      <c r="A545" s="2" t="s">
        <v>905</v>
      </c>
      <c r="B545" s="3" t="s">
        <v>46</v>
      </c>
      <c r="C545" s="3" t="s">
        <v>909</v>
      </c>
      <c r="D545" s="94" t="s">
        <v>910</v>
      </c>
      <c r="E545" s="94"/>
      <c r="F545" s="3" t="s">
        <v>52</v>
      </c>
      <c r="G545" s="25">
        <v>2</v>
      </c>
      <c r="H545" s="45">
        <v>0</v>
      </c>
    </row>
    <row r="546" spans="1:8" x14ac:dyDescent="0.25">
      <c r="A546" s="2" t="s">
        <v>908</v>
      </c>
      <c r="B546" s="3" t="s">
        <v>46</v>
      </c>
      <c r="C546" s="3" t="s">
        <v>912</v>
      </c>
      <c r="D546" s="94" t="s">
        <v>913</v>
      </c>
      <c r="E546" s="94"/>
      <c r="F546" s="3" t="s">
        <v>52</v>
      </c>
      <c r="G546" s="25">
        <v>2</v>
      </c>
      <c r="H546" s="45">
        <v>0</v>
      </c>
    </row>
    <row r="547" spans="1:8" x14ac:dyDescent="0.25">
      <c r="A547" s="2" t="s">
        <v>911</v>
      </c>
      <c r="B547" s="3" t="s">
        <v>46</v>
      </c>
      <c r="C547" s="3" t="s">
        <v>915</v>
      </c>
      <c r="D547" s="94" t="s">
        <v>916</v>
      </c>
      <c r="E547" s="94"/>
      <c r="F547" s="3" t="s">
        <v>52</v>
      </c>
      <c r="G547" s="25">
        <v>2</v>
      </c>
      <c r="H547" s="45">
        <v>0</v>
      </c>
    </row>
    <row r="548" spans="1:8" x14ac:dyDescent="0.25">
      <c r="A548" s="2" t="s">
        <v>914</v>
      </c>
      <c r="B548" s="3" t="s">
        <v>46</v>
      </c>
      <c r="C548" s="3" t="s">
        <v>918</v>
      </c>
      <c r="D548" s="94" t="s">
        <v>919</v>
      </c>
      <c r="E548" s="94"/>
      <c r="F548" s="3" t="s">
        <v>52</v>
      </c>
      <c r="G548" s="25">
        <v>5</v>
      </c>
      <c r="H548" s="45">
        <v>0</v>
      </c>
    </row>
    <row r="549" spans="1:8" x14ac:dyDescent="0.25">
      <c r="A549" s="2" t="s">
        <v>917</v>
      </c>
      <c r="B549" s="3" t="s">
        <v>46</v>
      </c>
      <c r="C549" s="3" t="s">
        <v>921</v>
      </c>
      <c r="D549" s="94" t="s">
        <v>922</v>
      </c>
      <c r="E549" s="94"/>
      <c r="F549" s="3" t="s">
        <v>52</v>
      </c>
      <c r="G549" s="25">
        <v>2</v>
      </c>
      <c r="H549" s="45">
        <v>0</v>
      </c>
    </row>
    <row r="550" spans="1:8" x14ac:dyDescent="0.25">
      <c r="A550" s="2" t="s">
        <v>920</v>
      </c>
      <c r="B550" s="3" t="s">
        <v>46</v>
      </c>
      <c r="C550" s="3" t="s">
        <v>924</v>
      </c>
      <c r="D550" s="94" t="s">
        <v>925</v>
      </c>
      <c r="E550" s="94"/>
      <c r="F550" s="3" t="s">
        <v>52</v>
      </c>
      <c r="G550" s="25">
        <v>2</v>
      </c>
      <c r="H550" s="45">
        <v>0</v>
      </c>
    </row>
    <row r="551" spans="1:8" x14ac:dyDescent="0.25">
      <c r="A551" s="2" t="s">
        <v>923</v>
      </c>
      <c r="B551" s="3" t="s">
        <v>46</v>
      </c>
      <c r="C551" s="3" t="s">
        <v>927</v>
      </c>
      <c r="D551" s="94" t="s">
        <v>928</v>
      </c>
      <c r="E551" s="94"/>
      <c r="F551" s="3" t="s">
        <v>52</v>
      </c>
      <c r="G551" s="25">
        <v>2</v>
      </c>
      <c r="H551" s="45">
        <v>0</v>
      </c>
    </row>
    <row r="552" spans="1:8" x14ac:dyDescent="0.25">
      <c r="A552" s="2" t="s">
        <v>926</v>
      </c>
      <c r="B552" s="3" t="s">
        <v>46</v>
      </c>
      <c r="C552" s="3" t="s">
        <v>930</v>
      </c>
      <c r="D552" s="94" t="s">
        <v>931</v>
      </c>
      <c r="E552" s="94"/>
      <c r="F552" s="3" t="s">
        <v>52</v>
      </c>
      <c r="G552" s="25">
        <v>1</v>
      </c>
      <c r="H552" s="45">
        <v>0</v>
      </c>
    </row>
    <row r="553" spans="1:8" x14ac:dyDescent="0.25">
      <c r="A553" s="2" t="s">
        <v>929</v>
      </c>
      <c r="B553" s="3" t="s">
        <v>46</v>
      </c>
      <c r="C553" s="3" t="s">
        <v>933</v>
      </c>
      <c r="D553" s="94" t="s">
        <v>934</v>
      </c>
      <c r="E553" s="94"/>
      <c r="F553" s="3" t="s">
        <v>52</v>
      </c>
      <c r="G553" s="25">
        <v>1</v>
      </c>
      <c r="H553" s="45">
        <v>0</v>
      </c>
    </row>
    <row r="554" spans="1:8" x14ac:dyDescent="0.25">
      <c r="A554" s="2" t="s">
        <v>932</v>
      </c>
      <c r="B554" s="3" t="s">
        <v>46</v>
      </c>
      <c r="C554" s="3" t="s">
        <v>936</v>
      </c>
      <c r="D554" s="94" t="s">
        <v>937</v>
      </c>
      <c r="E554" s="94"/>
      <c r="F554" s="3" t="s">
        <v>52</v>
      </c>
      <c r="G554" s="25">
        <v>84</v>
      </c>
      <c r="H554" s="45">
        <v>0</v>
      </c>
    </row>
    <row r="555" spans="1:8" x14ac:dyDescent="0.25">
      <c r="A555" s="2" t="s">
        <v>935</v>
      </c>
      <c r="B555" s="3" t="s">
        <v>46</v>
      </c>
      <c r="C555" s="3" t="s">
        <v>939</v>
      </c>
      <c r="D555" s="94" t="s">
        <v>940</v>
      </c>
      <c r="E555" s="94"/>
      <c r="F555" s="3" t="s">
        <v>52</v>
      </c>
      <c r="G555" s="25">
        <v>84</v>
      </c>
      <c r="H555" s="45">
        <v>0</v>
      </c>
    </row>
    <row r="556" spans="1:8" x14ac:dyDescent="0.25">
      <c r="A556" s="2" t="s">
        <v>938</v>
      </c>
      <c r="B556" s="3" t="s">
        <v>46</v>
      </c>
      <c r="C556" s="3" t="s">
        <v>942</v>
      </c>
      <c r="D556" s="94" t="s">
        <v>943</v>
      </c>
      <c r="E556" s="94"/>
      <c r="F556" s="3" t="s">
        <v>52</v>
      </c>
      <c r="G556" s="25">
        <v>2</v>
      </c>
      <c r="H556" s="45">
        <v>0</v>
      </c>
    </row>
    <row r="557" spans="1:8" x14ac:dyDescent="0.25">
      <c r="A557" s="2" t="s">
        <v>941</v>
      </c>
      <c r="B557" s="3" t="s">
        <v>46</v>
      </c>
      <c r="C557" s="3" t="s">
        <v>945</v>
      </c>
      <c r="D557" s="94" t="s">
        <v>946</v>
      </c>
      <c r="E557" s="94"/>
      <c r="F557" s="3" t="s">
        <v>52</v>
      </c>
      <c r="G557" s="25">
        <v>6</v>
      </c>
      <c r="H557" s="45">
        <v>0</v>
      </c>
    </row>
    <row r="558" spans="1:8" x14ac:dyDescent="0.25">
      <c r="A558" s="2" t="s">
        <v>944</v>
      </c>
      <c r="B558" s="3" t="s">
        <v>46</v>
      </c>
      <c r="C558" s="3" t="s">
        <v>948</v>
      </c>
      <c r="D558" s="94" t="s">
        <v>949</v>
      </c>
      <c r="E558" s="94"/>
      <c r="F558" s="3" t="s">
        <v>52</v>
      </c>
      <c r="G558" s="25">
        <v>25</v>
      </c>
      <c r="H558" s="45">
        <v>0</v>
      </c>
    </row>
    <row r="559" spans="1:8" x14ac:dyDescent="0.25">
      <c r="A559" s="2" t="s">
        <v>947</v>
      </c>
      <c r="B559" s="3" t="s">
        <v>46</v>
      </c>
      <c r="C559" s="3" t="s">
        <v>951</v>
      </c>
      <c r="D559" s="94" t="s">
        <v>952</v>
      </c>
      <c r="E559" s="94"/>
      <c r="F559" s="3" t="s">
        <v>52</v>
      </c>
      <c r="G559" s="25">
        <v>2</v>
      </c>
      <c r="H559" s="45">
        <v>0</v>
      </c>
    </row>
    <row r="560" spans="1:8" x14ac:dyDescent="0.25">
      <c r="A560" s="2" t="s">
        <v>950</v>
      </c>
      <c r="B560" s="3" t="s">
        <v>46</v>
      </c>
      <c r="C560" s="3" t="s">
        <v>954</v>
      </c>
      <c r="D560" s="94" t="s">
        <v>952</v>
      </c>
      <c r="E560" s="94"/>
      <c r="F560" s="3" t="s">
        <v>52</v>
      </c>
      <c r="G560" s="25">
        <v>2</v>
      </c>
      <c r="H560" s="45">
        <v>0</v>
      </c>
    </row>
    <row r="561" spans="1:8" x14ac:dyDescent="0.25">
      <c r="A561" s="2" t="s">
        <v>953</v>
      </c>
      <c r="B561" s="3" t="s">
        <v>46</v>
      </c>
      <c r="C561" s="3" t="s">
        <v>956</v>
      </c>
      <c r="D561" s="94" t="s">
        <v>957</v>
      </c>
      <c r="E561" s="94"/>
      <c r="F561" s="3" t="s">
        <v>52</v>
      </c>
      <c r="G561" s="25">
        <v>2</v>
      </c>
      <c r="H561" s="45">
        <v>0</v>
      </c>
    </row>
    <row r="562" spans="1:8" x14ac:dyDescent="0.25">
      <c r="A562" s="2" t="s">
        <v>955</v>
      </c>
      <c r="B562" s="3" t="s">
        <v>46</v>
      </c>
      <c r="C562" s="3" t="s">
        <v>959</v>
      </c>
      <c r="D562" s="94" t="s">
        <v>960</v>
      </c>
      <c r="E562" s="94"/>
      <c r="F562" s="3" t="s">
        <v>52</v>
      </c>
      <c r="G562" s="25">
        <v>3</v>
      </c>
      <c r="H562" s="45">
        <v>0</v>
      </c>
    </row>
    <row r="563" spans="1:8" x14ac:dyDescent="0.25">
      <c r="A563" s="2" t="s">
        <v>958</v>
      </c>
      <c r="B563" s="3" t="s">
        <v>46</v>
      </c>
      <c r="C563" s="3" t="s">
        <v>962</v>
      </c>
      <c r="D563" s="94" t="s">
        <v>963</v>
      </c>
      <c r="E563" s="94"/>
      <c r="F563" s="3" t="s">
        <v>52</v>
      </c>
      <c r="G563" s="25">
        <v>6</v>
      </c>
      <c r="H563" s="45">
        <v>0</v>
      </c>
    </row>
    <row r="564" spans="1:8" x14ac:dyDescent="0.25">
      <c r="A564" s="2" t="s">
        <v>961</v>
      </c>
      <c r="B564" s="3" t="s">
        <v>46</v>
      </c>
      <c r="C564" s="3" t="s">
        <v>965</v>
      </c>
      <c r="D564" s="94" t="s">
        <v>966</v>
      </c>
      <c r="E564" s="94"/>
      <c r="F564" s="3" t="s">
        <v>52</v>
      </c>
      <c r="G564" s="25">
        <v>1</v>
      </c>
      <c r="H564" s="45">
        <v>0</v>
      </c>
    </row>
    <row r="565" spans="1:8" x14ac:dyDescent="0.25">
      <c r="A565" s="2" t="s">
        <v>964</v>
      </c>
      <c r="B565" s="3" t="s">
        <v>46</v>
      </c>
      <c r="C565" s="3" t="s">
        <v>968</v>
      </c>
      <c r="D565" s="94" t="s">
        <v>969</v>
      </c>
      <c r="E565" s="94"/>
      <c r="F565" s="3" t="s">
        <v>52</v>
      </c>
      <c r="G565" s="25">
        <v>1</v>
      </c>
      <c r="H565" s="45">
        <v>0</v>
      </c>
    </row>
    <row r="566" spans="1:8" x14ac:dyDescent="0.25">
      <c r="A566" s="2" t="s">
        <v>967</v>
      </c>
      <c r="B566" s="3" t="s">
        <v>46</v>
      </c>
      <c r="C566" s="3" t="s">
        <v>971</v>
      </c>
      <c r="D566" s="94" t="s">
        <v>972</v>
      </c>
      <c r="E566" s="94"/>
      <c r="F566" s="3" t="s">
        <v>52</v>
      </c>
      <c r="G566" s="25">
        <v>2</v>
      </c>
      <c r="H566" s="45">
        <v>0</v>
      </c>
    </row>
    <row r="567" spans="1:8" x14ac:dyDescent="0.25">
      <c r="A567" s="2" t="s">
        <v>970</v>
      </c>
      <c r="B567" s="3" t="s">
        <v>46</v>
      </c>
      <c r="C567" s="3" t="s">
        <v>974</v>
      </c>
      <c r="D567" s="94" t="s">
        <v>975</v>
      </c>
      <c r="E567" s="94"/>
      <c r="F567" s="3" t="s">
        <v>52</v>
      </c>
      <c r="G567" s="25">
        <v>6</v>
      </c>
      <c r="H567" s="45">
        <v>0</v>
      </c>
    </row>
    <row r="568" spans="1:8" x14ac:dyDescent="0.25">
      <c r="A568" s="2" t="s">
        <v>973</v>
      </c>
      <c r="B568" s="3" t="s">
        <v>46</v>
      </c>
      <c r="C568" s="3" t="s">
        <v>977</v>
      </c>
      <c r="D568" s="94" t="s">
        <v>978</v>
      </c>
      <c r="E568" s="94"/>
      <c r="F568" s="3" t="s">
        <v>52</v>
      </c>
      <c r="G568" s="25">
        <v>10</v>
      </c>
      <c r="H568" s="45">
        <v>0</v>
      </c>
    </row>
    <row r="569" spans="1:8" x14ac:dyDescent="0.25">
      <c r="A569" s="2" t="s">
        <v>976</v>
      </c>
      <c r="B569" s="3" t="s">
        <v>46</v>
      </c>
      <c r="C569" s="3" t="s">
        <v>980</v>
      </c>
      <c r="D569" s="94" t="s">
        <v>981</v>
      </c>
      <c r="E569" s="94"/>
      <c r="F569" s="3" t="s">
        <v>52</v>
      </c>
      <c r="G569" s="25">
        <v>7</v>
      </c>
      <c r="H569" s="45">
        <v>0</v>
      </c>
    </row>
    <row r="570" spans="1:8" x14ac:dyDescent="0.25">
      <c r="A570" s="2" t="s">
        <v>979</v>
      </c>
      <c r="B570" s="3" t="s">
        <v>46</v>
      </c>
      <c r="C570" s="3" t="s">
        <v>983</v>
      </c>
      <c r="D570" s="94" t="s">
        <v>984</v>
      </c>
      <c r="E570" s="94"/>
      <c r="F570" s="3" t="s">
        <v>52</v>
      </c>
      <c r="G570" s="25">
        <v>5</v>
      </c>
      <c r="H570" s="45">
        <v>0</v>
      </c>
    </row>
    <row r="571" spans="1:8" x14ac:dyDescent="0.25">
      <c r="A571" s="2" t="s">
        <v>982</v>
      </c>
      <c r="B571" s="3" t="s">
        <v>46</v>
      </c>
      <c r="C571" s="3" t="s">
        <v>986</v>
      </c>
      <c r="D571" s="94" t="s">
        <v>987</v>
      </c>
      <c r="E571" s="94"/>
      <c r="F571" s="3" t="s">
        <v>131</v>
      </c>
      <c r="G571" s="25">
        <v>10</v>
      </c>
      <c r="H571" s="45">
        <v>0</v>
      </c>
    </row>
    <row r="572" spans="1:8" x14ac:dyDescent="0.25">
      <c r="A572" s="2" t="s">
        <v>985</v>
      </c>
      <c r="B572" s="3" t="s">
        <v>46</v>
      </c>
      <c r="C572" s="3" t="s">
        <v>989</v>
      </c>
      <c r="D572" s="94" t="s">
        <v>795</v>
      </c>
      <c r="E572" s="94"/>
      <c r="F572" s="3" t="s">
        <v>796</v>
      </c>
      <c r="G572" s="25">
        <v>100</v>
      </c>
      <c r="H572" s="45">
        <v>0</v>
      </c>
    </row>
    <row r="573" spans="1:8" x14ac:dyDescent="0.25">
      <c r="A573" s="2" t="s">
        <v>988</v>
      </c>
      <c r="B573" s="3" t="s">
        <v>46</v>
      </c>
      <c r="C573" s="3" t="s">
        <v>991</v>
      </c>
      <c r="D573" s="94" t="s">
        <v>992</v>
      </c>
      <c r="E573" s="94"/>
      <c r="F573" s="3" t="s">
        <v>52</v>
      </c>
      <c r="G573" s="25">
        <v>1</v>
      </c>
      <c r="H573" s="45">
        <v>0</v>
      </c>
    </row>
    <row r="574" spans="1:8" x14ac:dyDescent="0.25">
      <c r="A574" s="2" t="s">
        <v>990</v>
      </c>
      <c r="B574" s="3" t="s">
        <v>46</v>
      </c>
      <c r="C574" s="3" t="s">
        <v>994</v>
      </c>
      <c r="D574" s="94" t="s">
        <v>995</v>
      </c>
      <c r="E574" s="94"/>
      <c r="F574" s="3" t="s">
        <v>52</v>
      </c>
      <c r="G574" s="25">
        <v>2</v>
      </c>
      <c r="H574" s="45">
        <v>0</v>
      </c>
    </row>
    <row r="575" spans="1:8" x14ac:dyDescent="0.25">
      <c r="A575" s="2" t="s">
        <v>993</v>
      </c>
      <c r="B575" s="3" t="s">
        <v>46</v>
      </c>
      <c r="C575" s="3" t="s">
        <v>997</v>
      </c>
      <c r="D575" s="94" t="s">
        <v>998</v>
      </c>
      <c r="E575" s="94"/>
      <c r="F575" s="3" t="s">
        <v>131</v>
      </c>
      <c r="G575" s="25">
        <v>3000</v>
      </c>
      <c r="H575" s="45">
        <v>0</v>
      </c>
    </row>
    <row r="576" spans="1:8" x14ac:dyDescent="0.25">
      <c r="A576" s="2" t="s">
        <v>996</v>
      </c>
      <c r="B576" s="3" t="s">
        <v>46</v>
      </c>
      <c r="C576" s="3" t="s">
        <v>1000</v>
      </c>
      <c r="D576" s="94" t="s">
        <v>1001</v>
      </c>
      <c r="E576" s="94"/>
      <c r="F576" s="3" t="s">
        <v>131</v>
      </c>
      <c r="G576" s="25">
        <v>3000</v>
      </c>
      <c r="H576" s="45">
        <v>0</v>
      </c>
    </row>
    <row r="577" spans="1:8" x14ac:dyDescent="0.25">
      <c r="A577" s="2" t="s">
        <v>999</v>
      </c>
      <c r="B577" s="3" t="s">
        <v>46</v>
      </c>
      <c r="C577" s="3" t="s">
        <v>1003</v>
      </c>
      <c r="D577" s="94" t="s">
        <v>1004</v>
      </c>
      <c r="E577" s="94"/>
      <c r="F577" s="3" t="s">
        <v>131</v>
      </c>
      <c r="G577" s="25">
        <v>3000</v>
      </c>
      <c r="H577" s="45">
        <v>0</v>
      </c>
    </row>
    <row r="578" spans="1:8" x14ac:dyDescent="0.25">
      <c r="A578" s="2" t="s">
        <v>1002</v>
      </c>
      <c r="B578" s="3" t="s">
        <v>46</v>
      </c>
      <c r="C578" s="3" t="s">
        <v>1006</v>
      </c>
      <c r="D578" s="94" t="s">
        <v>1007</v>
      </c>
      <c r="E578" s="94"/>
      <c r="F578" s="3" t="s">
        <v>796</v>
      </c>
      <c r="G578" s="25">
        <v>10</v>
      </c>
      <c r="H578" s="45">
        <v>0</v>
      </c>
    </row>
    <row r="579" spans="1:8" x14ac:dyDescent="0.25">
      <c r="A579" s="2" t="s">
        <v>1005</v>
      </c>
      <c r="B579" s="3" t="s">
        <v>46</v>
      </c>
      <c r="C579" s="3" t="s">
        <v>1009</v>
      </c>
      <c r="D579" s="94" t="s">
        <v>1010</v>
      </c>
      <c r="E579" s="94"/>
      <c r="F579" s="3" t="s">
        <v>796</v>
      </c>
      <c r="G579" s="25">
        <v>10</v>
      </c>
      <c r="H579" s="45">
        <v>0</v>
      </c>
    </row>
    <row r="580" spans="1:8" x14ac:dyDescent="0.25">
      <c r="A580" s="2" t="s">
        <v>1008</v>
      </c>
      <c r="B580" s="3" t="s">
        <v>46</v>
      </c>
      <c r="C580" s="3" t="s">
        <v>1012</v>
      </c>
      <c r="D580" s="94" t="s">
        <v>826</v>
      </c>
      <c r="E580" s="94"/>
      <c r="F580" s="3" t="s">
        <v>796</v>
      </c>
      <c r="G580" s="25">
        <v>80</v>
      </c>
      <c r="H580" s="45">
        <v>0</v>
      </c>
    </row>
    <row r="581" spans="1:8" x14ac:dyDescent="0.25">
      <c r="A581" s="2" t="s">
        <v>1011</v>
      </c>
      <c r="B581" s="3" t="s">
        <v>46</v>
      </c>
      <c r="C581" s="3" t="s">
        <v>1014</v>
      </c>
      <c r="D581" s="94" t="s">
        <v>1015</v>
      </c>
      <c r="E581" s="94"/>
      <c r="F581" s="3" t="s">
        <v>52</v>
      </c>
      <c r="G581" s="25">
        <v>1</v>
      </c>
      <c r="H581" s="45">
        <v>0</v>
      </c>
    </row>
    <row r="582" spans="1:8" x14ac:dyDescent="0.25">
      <c r="A582" s="2" t="s">
        <v>1013</v>
      </c>
      <c r="B582" s="3" t="s">
        <v>46</v>
      </c>
      <c r="C582" s="3" t="s">
        <v>1017</v>
      </c>
      <c r="D582" s="94" t="s">
        <v>829</v>
      </c>
      <c r="E582" s="94"/>
      <c r="F582" s="3" t="s">
        <v>52</v>
      </c>
      <c r="G582" s="25">
        <v>1</v>
      </c>
      <c r="H582" s="45">
        <v>0</v>
      </c>
    </row>
    <row r="583" spans="1:8" x14ac:dyDescent="0.25">
      <c r="A583" s="2" t="s">
        <v>1016</v>
      </c>
      <c r="B583" s="3" t="s">
        <v>46</v>
      </c>
      <c r="C583" s="3" t="s">
        <v>1019</v>
      </c>
      <c r="D583" s="94" t="s">
        <v>832</v>
      </c>
      <c r="E583" s="94"/>
      <c r="F583" s="3" t="s">
        <v>52</v>
      </c>
      <c r="G583" s="25">
        <v>1</v>
      </c>
      <c r="H583" s="45">
        <v>0</v>
      </c>
    </row>
    <row r="584" spans="1:8" x14ac:dyDescent="0.25">
      <c r="A584" s="2" t="s">
        <v>1018</v>
      </c>
      <c r="B584" s="3" t="s">
        <v>46</v>
      </c>
      <c r="C584" s="3" t="s">
        <v>1021</v>
      </c>
      <c r="D584" s="94" t="s">
        <v>835</v>
      </c>
      <c r="E584" s="94"/>
      <c r="F584" s="3" t="s">
        <v>52</v>
      </c>
      <c r="G584" s="25">
        <v>1</v>
      </c>
      <c r="H584" s="45">
        <v>0</v>
      </c>
    </row>
    <row r="585" spans="1:8" x14ac:dyDescent="0.25">
      <c r="A585" s="58" t="s">
        <v>46</v>
      </c>
      <c r="B585" s="29" t="s">
        <v>46</v>
      </c>
      <c r="C585" s="29" t="s">
        <v>1022</v>
      </c>
      <c r="D585" s="151" t="s">
        <v>1023</v>
      </c>
      <c r="E585" s="151"/>
      <c r="F585" s="29" t="s">
        <v>46</v>
      </c>
      <c r="G585" s="11" t="s">
        <v>46</v>
      </c>
      <c r="H585" s="31" t="s">
        <v>46</v>
      </c>
    </row>
    <row r="586" spans="1:8" x14ac:dyDescent="0.25">
      <c r="A586" s="2" t="s">
        <v>1020</v>
      </c>
      <c r="B586" s="3" t="s">
        <v>46</v>
      </c>
      <c r="C586" s="3" t="s">
        <v>1025</v>
      </c>
      <c r="D586" s="94" t="s">
        <v>1026</v>
      </c>
      <c r="E586" s="94"/>
      <c r="F586" s="3" t="s">
        <v>52</v>
      </c>
      <c r="G586" s="25">
        <v>2</v>
      </c>
      <c r="H586" s="45">
        <v>0</v>
      </c>
    </row>
    <row r="587" spans="1:8" x14ac:dyDescent="0.25">
      <c r="A587" s="2" t="s">
        <v>1024</v>
      </c>
      <c r="B587" s="3" t="s">
        <v>46</v>
      </c>
      <c r="C587" s="3" t="s">
        <v>1029</v>
      </c>
      <c r="D587" s="94" t="s">
        <v>1030</v>
      </c>
      <c r="E587" s="94"/>
      <c r="F587" s="3" t="s">
        <v>52</v>
      </c>
      <c r="G587" s="25">
        <v>9</v>
      </c>
      <c r="H587" s="45">
        <v>0</v>
      </c>
    </row>
    <row r="588" spans="1:8" x14ac:dyDescent="0.25">
      <c r="A588" s="2" t="s">
        <v>1028</v>
      </c>
      <c r="B588" s="3" t="s">
        <v>46</v>
      </c>
      <c r="C588" s="3" t="s">
        <v>1032</v>
      </c>
      <c r="D588" s="94" t="s">
        <v>1033</v>
      </c>
      <c r="E588" s="94"/>
      <c r="F588" s="3" t="s">
        <v>52</v>
      </c>
      <c r="G588" s="25">
        <v>5</v>
      </c>
      <c r="H588" s="45">
        <v>0</v>
      </c>
    </row>
    <row r="589" spans="1:8" x14ac:dyDescent="0.25">
      <c r="A589" s="2" t="s">
        <v>1031</v>
      </c>
      <c r="B589" s="3" t="s">
        <v>46</v>
      </c>
      <c r="C589" s="3" t="s">
        <v>1035</v>
      </c>
      <c r="D589" s="94" t="s">
        <v>1036</v>
      </c>
      <c r="E589" s="94"/>
      <c r="F589" s="3" t="s">
        <v>52</v>
      </c>
      <c r="G589" s="25">
        <v>1</v>
      </c>
      <c r="H589" s="45">
        <v>0</v>
      </c>
    </row>
    <row r="590" spans="1:8" x14ac:dyDescent="0.25">
      <c r="A590" s="2" t="s">
        <v>1034</v>
      </c>
      <c r="B590" s="3" t="s">
        <v>46</v>
      </c>
      <c r="C590" s="3" t="s">
        <v>1038</v>
      </c>
      <c r="D590" s="94" t="s">
        <v>1039</v>
      </c>
      <c r="E590" s="94"/>
      <c r="F590" s="3" t="s">
        <v>52</v>
      </c>
      <c r="G590" s="25">
        <v>1</v>
      </c>
      <c r="H590" s="45">
        <v>0</v>
      </c>
    </row>
    <row r="591" spans="1:8" x14ac:dyDescent="0.25">
      <c r="A591" s="2" t="s">
        <v>1037</v>
      </c>
      <c r="B591" s="3" t="s">
        <v>46</v>
      </c>
      <c r="C591" s="3" t="s">
        <v>1041</v>
      </c>
      <c r="D591" s="94" t="s">
        <v>1042</v>
      </c>
      <c r="E591" s="94"/>
      <c r="F591" s="3" t="s">
        <v>52</v>
      </c>
      <c r="G591" s="25">
        <v>3</v>
      </c>
      <c r="H591" s="45">
        <v>0</v>
      </c>
    </row>
    <row r="592" spans="1:8" x14ac:dyDescent="0.25">
      <c r="A592" s="2" t="s">
        <v>1040</v>
      </c>
      <c r="B592" s="3" t="s">
        <v>46</v>
      </c>
      <c r="C592" s="3" t="s">
        <v>1044</v>
      </c>
      <c r="D592" s="94" t="s">
        <v>1045</v>
      </c>
      <c r="E592" s="94"/>
      <c r="F592" s="3" t="s">
        <v>52</v>
      </c>
      <c r="G592" s="25">
        <v>22</v>
      </c>
      <c r="H592" s="45">
        <v>0</v>
      </c>
    </row>
    <row r="593" spans="1:8" x14ac:dyDescent="0.25">
      <c r="A593" s="2" t="s">
        <v>1043</v>
      </c>
      <c r="B593" s="3" t="s">
        <v>46</v>
      </c>
      <c r="C593" s="3" t="s">
        <v>1047</v>
      </c>
      <c r="D593" s="94" t="s">
        <v>1048</v>
      </c>
      <c r="E593" s="94"/>
      <c r="F593" s="3" t="s">
        <v>52</v>
      </c>
      <c r="G593" s="25">
        <v>18</v>
      </c>
      <c r="H593" s="45">
        <v>0</v>
      </c>
    </row>
    <row r="594" spans="1:8" x14ac:dyDescent="0.25">
      <c r="A594" s="2" t="s">
        <v>1046</v>
      </c>
      <c r="B594" s="3" t="s">
        <v>46</v>
      </c>
      <c r="C594" s="3" t="s">
        <v>1050</v>
      </c>
      <c r="D594" s="94" t="s">
        <v>1051</v>
      </c>
      <c r="E594" s="94"/>
      <c r="F594" s="3" t="s">
        <v>1052</v>
      </c>
      <c r="G594" s="25">
        <v>22</v>
      </c>
      <c r="H594" s="45">
        <v>0</v>
      </c>
    </row>
    <row r="595" spans="1:8" x14ac:dyDescent="0.25">
      <c r="A595" s="2" t="s">
        <v>1049</v>
      </c>
      <c r="B595" s="3" t="s">
        <v>46</v>
      </c>
      <c r="C595" s="3" t="s">
        <v>1054</v>
      </c>
      <c r="D595" s="94" t="s">
        <v>1055</v>
      </c>
      <c r="E595" s="94"/>
      <c r="F595" s="3" t="s">
        <v>131</v>
      </c>
      <c r="G595" s="25">
        <v>38</v>
      </c>
      <c r="H595" s="45">
        <v>0</v>
      </c>
    </row>
    <row r="596" spans="1:8" x14ac:dyDescent="0.25">
      <c r="A596" s="2" t="s">
        <v>1053</v>
      </c>
      <c r="B596" s="3" t="s">
        <v>46</v>
      </c>
      <c r="C596" s="3" t="s">
        <v>1057</v>
      </c>
      <c r="D596" s="94" t="s">
        <v>1058</v>
      </c>
      <c r="E596" s="94"/>
      <c r="F596" s="3" t="s">
        <v>131</v>
      </c>
      <c r="G596" s="25">
        <v>17.5</v>
      </c>
      <c r="H596" s="45">
        <v>0</v>
      </c>
    </row>
    <row r="597" spans="1:8" x14ac:dyDescent="0.25">
      <c r="A597" s="2" t="s">
        <v>1056</v>
      </c>
      <c r="B597" s="3" t="s">
        <v>46</v>
      </c>
      <c r="C597" s="3" t="s">
        <v>1060</v>
      </c>
      <c r="D597" s="94" t="s">
        <v>1061</v>
      </c>
      <c r="E597" s="94"/>
      <c r="F597" s="3" t="s">
        <v>131</v>
      </c>
      <c r="G597" s="25">
        <v>51.5</v>
      </c>
      <c r="H597" s="45">
        <v>0</v>
      </c>
    </row>
    <row r="598" spans="1:8" x14ac:dyDescent="0.25">
      <c r="A598" s="2" t="s">
        <v>1059</v>
      </c>
      <c r="B598" s="3" t="s">
        <v>46</v>
      </c>
      <c r="C598" s="3" t="s">
        <v>1063</v>
      </c>
      <c r="D598" s="94" t="s">
        <v>1064</v>
      </c>
      <c r="E598" s="94"/>
      <c r="F598" s="3" t="s">
        <v>131</v>
      </c>
      <c r="G598" s="25">
        <v>13.5</v>
      </c>
      <c r="H598" s="45">
        <v>0</v>
      </c>
    </row>
    <row r="599" spans="1:8" x14ac:dyDescent="0.25">
      <c r="A599" s="2" t="s">
        <v>1062</v>
      </c>
      <c r="B599" s="3" t="s">
        <v>46</v>
      </c>
      <c r="C599" s="3" t="s">
        <v>1066</v>
      </c>
      <c r="D599" s="94" t="s">
        <v>1067</v>
      </c>
      <c r="E599" s="94"/>
      <c r="F599" s="3" t="s">
        <v>131</v>
      </c>
      <c r="G599" s="25">
        <v>49</v>
      </c>
      <c r="H599" s="45">
        <v>0</v>
      </c>
    </row>
    <row r="600" spans="1:8" x14ac:dyDescent="0.25">
      <c r="A600" s="2" t="s">
        <v>1065</v>
      </c>
      <c r="B600" s="3" t="s">
        <v>46</v>
      </c>
      <c r="C600" s="3" t="s">
        <v>1069</v>
      </c>
      <c r="D600" s="94" t="s">
        <v>1070</v>
      </c>
      <c r="E600" s="94"/>
      <c r="F600" s="3" t="s">
        <v>131</v>
      </c>
      <c r="G600" s="25">
        <v>5.5</v>
      </c>
      <c r="H600" s="45">
        <v>0</v>
      </c>
    </row>
    <row r="601" spans="1:8" x14ac:dyDescent="0.25">
      <c r="A601" s="2" t="s">
        <v>1068</v>
      </c>
      <c r="B601" s="3" t="s">
        <v>46</v>
      </c>
      <c r="C601" s="3" t="s">
        <v>1072</v>
      </c>
      <c r="D601" s="94" t="s">
        <v>1073</v>
      </c>
      <c r="E601" s="94"/>
      <c r="F601" s="3" t="s">
        <v>131</v>
      </c>
      <c r="G601" s="25">
        <v>19</v>
      </c>
      <c r="H601" s="45">
        <v>0</v>
      </c>
    </row>
    <row r="602" spans="1:8" x14ac:dyDescent="0.25">
      <c r="A602" s="2" t="s">
        <v>1071</v>
      </c>
      <c r="B602" s="3" t="s">
        <v>46</v>
      </c>
      <c r="C602" s="3" t="s">
        <v>1075</v>
      </c>
      <c r="D602" s="94" t="s">
        <v>1076</v>
      </c>
      <c r="E602" s="94"/>
      <c r="F602" s="3" t="s">
        <v>131</v>
      </c>
      <c r="G602" s="25">
        <v>45</v>
      </c>
      <c r="H602" s="45">
        <v>0</v>
      </c>
    </row>
    <row r="603" spans="1:8" x14ac:dyDescent="0.25">
      <c r="A603" s="2" t="s">
        <v>1074</v>
      </c>
      <c r="B603" s="3" t="s">
        <v>46</v>
      </c>
      <c r="C603" s="3" t="s">
        <v>1078</v>
      </c>
      <c r="D603" s="94" t="s">
        <v>1079</v>
      </c>
      <c r="E603" s="94"/>
      <c r="F603" s="3" t="s">
        <v>1080</v>
      </c>
      <c r="G603" s="25">
        <v>1</v>
      </c>
      <c r="H603" s="45">
        <v>0</v>
      </c>
    </row>
    <row r="604" spans="1:8" x14ac:dyDescent="0.25">
      <c r="A604" s="2" t="s">
        <v>1077</v>
      </c>
      <c r="B604" s="3" t="s">
        <v>46</v>
      </c>
      <c r="C604" s="3" t="s">
        <v>1082</v>
      </c>
      <c r="D604" s="94" t="s">
        <v>1083</v>
      </c>
      <c r="E604" s="94"/>
      <c r="F604" s="3" t="s">
        <v>52</v>
      </c>
      <c r="G604" s="25">
        <v>1</v>
      </c>
      <c r="H604" s="45">
        <v>0</v>
      </c>
    </row>
    <row r="605" spans="1:8" x14ac:dyDescent="0.25">
      <c r="A605" s="2" t="s">
        <v>1081</v>
      </c>
      <c r="B605" s="3" t="s">
        <v>46</v>
      </c>
      <c r="C605" s="3" t="s">
        <v>1085</v>
      </c>
      <c r="D605" s="94" t="s">
        <v>1086</v>
      </c>
      <c r="E605" s="94"/>
      <c r="F605" s="3" t="s">
        <v>1080</v>
      </c>
      <c r="G605" s="25">
        <v>1</v>
      </c>
      <c r="H605" s="45">
        <v>0</v>
      </c>
    </row>
    <row r="606" spans="1:8" x14ac:dyDescent="0.25">
      <c r="A606" s="2" t="s">
        <v>1084</v>
      </c>
      <c r="B606" s="3" t="s">
        <v>46</v>
      </c>
      <c r="C606" s="3" t="s">
        <v>1088</v>
      </c>
      <c r="D606" s="94" t="s">
        <v>1089</v>
      </c>
      <c r="E606" s="94"/>
      <c r="F606" s="3" t="s">
        <v>131</v>
      </c>
      <c r="G606" s="25">
        <v>44</v>
      </c>
      <c r="H606" s="45">
        <v>0</v>
      </c>
    </row>
    <row r="607" spans="1:8" x14ac:dyDescent="0.25">
      <c r="A607" s="2" t="s">
        <v>1087</v>
      </c>
      <c r="B607" s="3" t="s">
        <v>46</v>
      </c>
      <c r="C607" s="3" t="s">
        <v>1091</v>
      </c>
      <c r="D607" s="94" t="s">
        <v>1092</v>
      </c>
      <c r="E607" s="94"/>
      <c r="F607" s="3" t="s">
        <v>1080</v>
      </c>
      <c r="G607" s="25">
        <v>1</v>
      </c>
      <c r="H607" s="45">
        <v>0</v>
      </c>
    </row>
    <row r="608" spans="1:8" x14ac:dyDescent="0.25">
      <c r="A608" s="2" t="s">
        <v>1090</v>
      </c>
      <c r="B608" s="3" t="s">
        <v>46</v>
      </c>
      <c r="C608" s="3" t="s">
        <v>1094</v>
      </c>
      <c r="D608" s="94" t="s">
        <v>829</v>
      </c>
      <c r="E608" s="94"/>
      <c r="F608" s="3" t="s">
        <v>1080</v>
      </c>
      <c r="G608" s="25">
        <v>1</v>
      </c>
      <c r="H608" s="45">
        <v>0</v>
      </c>
    </row>
    <row r="609" spans="1:8" x14ac:dyDescent="0.25">
      <c r="A609" s="2" t="s">
        <v>1093</v>
      </c>
      <c r="B609" s="3" t="s">
        <v>46</v>
      </c>
      <c r="C609" s="3" t="s">
        <v>1096</v>
      </c>
      <c r="D609" s="94" t="s">
        <v>1097</v>
      </c>
      <c r="E609" s="94"/>
      <c r="F609" s="3" t="s">
        <v>52</v>
      </c>
      <c r="G609" s="25">
        <v>1</v>
      </c>
      <c r="H609" s="45">
        <v>0</v>
      </c>
    </row>
    <row r="610" spans="1:8" x14ac:dyDescent="0.25">
      <c r="A610" s="2" t="s">
        <v>1095</v>
      </c>
      <c r="B610" s="3" t="s">
        <v>46</v>
      </c>
      <c r="C610" s="3" t="s">
        <v>1099</v>
      </c>
      <c r="D610" s="94" t="s">
        <v>1100</v>
      </c>
      <c r="E610" s="94"/>
      <c r="F610" s="3" t="s">
        <v>52</v>
      </c>
      <c r="G610" s="25">
        <v>1</v>
      </c>
      <c r="H610" s="45">
        <v>0</v>
      </c>
    </row>
    <row r="611" spans="1:8" x14ac:dyDescent="0.25">
      <c r="A611" s="2" t="s">
        <v>1098</v>
      </c>
      <c r="B611" s="3" t="s">
        <v>46</v>
      </c>
      <c r="C611" s="3" t="s">
        <v>1102</v>
      </c>
      <c r="D611" s="94" t="s">
        <v>1103</v>
      </c>
      <c r="E611" s="94"/>
      <c r="F611" s="3" t="s">
        <v>52</v>
      </c>
      <c r="G611" s="25">
        <v>1</v>
      </c>
      <c r="H611" s="45">
        <v>0</v>
      </c>
    </row>
    <row r="612" spans="1:8" x14ac:dyDescent="0.25">
      <c r="A612" s="2" t="s">
        <v>1101</v>
      </c>
      <c r="B612" s="3" t="s">
        <v>46</v>
      </c>
      <c r="C612" s="3" t="s">
        <v>1105</v>
      </c>
      <c r="D612" s="94" t="s">
        <v>1106</v>
      </c>
      <c r="E612" s="94"/>
      <c r="F612" s="3" t="s">
        <v>52</v>
      </c>
      <c r="G612" s="25">
        <v>2</v>
      </c>
      <c r="H612" s="45">
        <v>0</v>
      </c>
    </row>
    <row r="613" spans="1:8" x14ac:dyDescent="0.25">
      <c r="A613" s="2" t="s">
        <v>1104</v>
      </c>
      <c r="B613" s="3" t="s">
        <v>46</v>
      </c>
      <c r="C613" s="3" t="s">
        <v>1108</v>
      </c>
      <c r="D613" s="94" t="s">
        <v>1109</v>
      </c>
      <c r="E613" s="94"/>
      <c r="F613" s="3" t="s">
        <v>131</v>
      </c>
      <c r="G613" s="25">
        <v>0.5</v>
      </c>
      <c r="H613" s="45">
        <v>0</v>
      </c>
    </row>
    <row r="614" spans="1:8" x14ac:dyDescent="0.25">
      <c r="A614" s="2" t="s">
        <v>1107</v>
      </c>
      <c r="B614" s="3" t="s">
        <v>46</v>
      </c>
      <c r="C614" s="3" t="s">
        <v>1111</v>
      </c>
      <c r="D614" s="94" t="s">
        <v>1112</v>
      </c>
      <c r="E614" s="94"/>
      <c r="F614" s="3" t="s">
        <v>52</v>
      </c>
      <c r="G614" s="25">
        <v>2</v>
      </c>
      <c r="H614" s="45">
        <v>0</v>
      </c>
    </row>
    <row r="615" spans="1:8" x14ac:dyDescent="0.25">
      <c r="A615" s="2" t="s">
        <v>1110</v>
      </c>
      <c r="B615" s="3" t="s">
        <v>46</v>
      </c>
      <c r="C615" s="3" t="s">
        <v>1114</v>
      </c>
      <c r="D615" s="94" t="s">
        <v>1115</v>
      </c>
      <c r="E615" s="94"/>
      <c r="F615" s="3" t="s">
        <v>52</v>
      </c>
      <c r="G615" s="25">
        <v>1</v>
      </c>
      <c r="H615" s="45">
        <v>0</v>
      </c>
    </row>
    <row r="616" spans="1:8" x14ac:dyDescent="0.25">
      <c r="A616" s="2" t="s">
        <v>1113</v>
      </c>
      <c r="B616" s="3" t="s">
        <v>46</v>
      </c>
      <c r="C616" s="3" t="s">
        <v>1117</v>
      </c>
      <c r="D616" s="94" t="s">
        <v>1118</v>
      </c>
      <c r="E616" s="94"/>
      <c r="F616" s="3" t="s">
        <v>52</v>
      </c>
      <c r="G616" s="25">
        <v>1</v>
      </c>
      <c r="H616" s="45">
        <v>0</v>
      </c>
    </row>
    <row r="617" spans="1:8" x14ac:dyDescent="0.25">
      <c r="A617" s="2" t="s">
        <v>1116</v>
      </c>
      <c r="B617" s="3" t="s">
        <v>46</v>
      </c>
      <c r="C617" s="3" t="s">
        <v>1120</v>
      </c>
      <c r="D617" s="94" t="s">
        <v>1121</v>
      </c>
      <c r="E617" s="94"/>
      <c r="F617" s="3" t="s">
        <v>52</v>
      </c>
      <c r="G617" s="25">
        <v>13</v>
      </c>
      <c r="H617" s="45">
        <v>0</v>
      </c>
    </row>
    <row r="618" spans="1:8" x14ac:dyDescent="0.25">
      <c r="A618" s="2" t="s">
        <v>1119</v>
      </c>
      <c r="B618" s="3" t="s">
        <v>46</v>
      </c>
      <c r="C618" s="3" t="s">
        <v>1123</v>
      </c>
      <c r="D618" s="94" t="s">
        <v>1124</v>
      </c>
      <c r="E618" s="94"/>
      <c r="F618" s="3" t="s">
        <v>52</v>
      </c>
      <c r="G618" s="25">
        <v>1</v>
      </c>
      <c r="H618" s="45">
        <v>0</v>
      </c>
    </row>
    <row r="619" spans="1:8" x14ac:dyDescent="0.25">
      <c r="A619" s="2" t="s">
        <v>1122</v>
      </c>
      <c r="B619" s="3" t="s">
        <v>46</v>
      </c>
      <c r="C619" s="3" t="s">
        <v>1126</v>
      </c>
      <c r="D619" s="94" t="s">
        <v>1127</v>
      </c>
      <c r="E619" s="94"/>
      <c r="F619" s="3" t="s">
        <v>52</v>
      </c>
      <c r="G619" s="25">
        <v>1</v>
      </c>
      <c r="H619" s="45">
        <v>0</v>
      </c>
    </row>
    <row r="620" spans="1:8" x14ac:dyDescent="0.25">
      <c r="A620" s="2" t="s">
        <v>1125</v>
      </c>
      <c r="B620" s="3" t="s">
        <v>46</v>
      </c>
      <c r="C620" s="3" t="s">
        <v>1129</v>
      </c>
      <c r="D620" s="94" t="s">
        <v>1130</v>
      </c>
      <c r="E620" s="94"/>
      <c r="F620" s="3" t="s">
        <v>52</v>
      </c>
      <c r="G620" s="25">
        <v>1</v>
      </c>
      <c r="H620" s="45">
        <v>0</v>
      </c>
    </row>
    <row r="621" spans="1:8" x14ac:dyDescent="0.25">
      <c r="A621" s="2" t="s">
        <v>1128</v>
      </c>
      <c r="B621" s="3" t="s">
        <v>46</v>
      </c>
      <c r="C621" s="3" t="s">
        <v>1132</v>
      </c>
      <c r="D621" s="94" t="s">
        <v>1133</v>
      </c>
      <c r="E621" s="94"/>
      <c r="F621" s="3" t="s">
        <v>52</v>
      </c>
      <c r="G621" s="25">
        <v>8</v>
      </c>
      <c r="H621" s="45">
        <v>0</v>
      </c>
    </row>
    <row r="622" spans="1:8" x14ac:dyDescent="0.25">
      <c r="A622" s="2" t="s">
        <v>1131</v>
      </c>
      <c r="B622" s="3" t="s">
        <v>46</v>
      </c>
      <c r="C622" s="3" t="s">
        <v>1135</v>
      </c>
      <c r="D622" s="94" t="s">
        <v>1136</v>
      </c>
      <c r="E622" s="94"/>
      <c r="F622" s="3" t="s">
        <v>93</v>
      </c>
      <c r="G622" s="25">
        <v>65.62</v>
      </c>
      <c r="H622" s="45">
        <v>0</v>
      </c>
    </row>
    <row r="623" spans="1:8" x14ac:dyDescent="0.25">
      <c r="A623" s="2" t="s">
        <v>1134</v>
      </c>
      <c r="B623" s="3" t="s">
        <v>46</v>
      </c>
      <c r="C623" s="3" t="s">
        <v>1138</v>
      </c>
      <c r="D623" s="94" t="s">
        <v>1139</v>
      </c>
      <c r="E623" s="94"/>
      <c r="F623" s="3" t="s">
        <v>93</v>
      </c>
      <c r="G623" s="25">
        <v>43.76</v>
      </c>
      <c r="H623" s="45">
        <v>0</v>
      </c>
    </row>
    <row r="624" spans="1:8" x14ac:dyDescent="0.25">
      <c r="A624" s="2" t="s">
        <v>1137</v>
      </c>
      <c r="B624" s="3" t="s">
        <v>46</v>
      </c>
      <c r="C624" s="3" t="s">
        <v>1141</v>
      </c>
      <c r="D624" s="94" t="s">
        <v>1142</v>
      </c>
      <c r="E624" s="94"/>
      <c r="F624" s="3" t="s">
        <v>52</v>
      </c>
      <c r="G624" s="25">
        <v>1</v>
      </c>
      <c r="H624" s="45">
        <v>0</v>
      </c>
    </row>
    <row r="625" spans="1:8" x14ac:dyDescent="0.25">
      <c r="A625" s="2" t="s">
        <v>1140</v>
      </c>
      <c r="B625" s="3" t="s">
        <v>46</v>
      </c>
      <c r="C625" s="3" t="s">
        <v>1144</v>
      </c>
      <c r="D625" s="94" t="s">
        <v>1145</v>
      </c>
      <c r="E625" s="94"/>
      <c r="F625" s="3" t="s">
        <v>93</v>
      </c>
      <c r="G625" s="25">
        <v>20.66</v>
      </c>
      <c r="H625" s="45">
        <v>0</v>
      </c>
    </row>
    <row r="626" spans="1:8" x14ac:dyDescent="0.25">
      <c r="A626" s="2" t="s">
        <v>1143</v>
      </c>
      <c r="B626" s="3" t="s">
        <v>46</v>
      </c>
      <c r="C626" s="3" t="s">
        <v>1147</v>
      </c>
      <c r="D626" s="94" t="s">
        <v>1148</v>
      </c>
      <c r="E626" s="94"/>
      <c r="F626" s="3" t="s">
        <v>93</v>
      </c>
      <c r="G626" s="25">
        <v>6.37</v>
      </c>
      <c r="H626" s="45">
        <v>0</v>
      </c>
    </row>
    <row r="627" spans="1:8" x14ac:dyDescent="0.25">
      <c r="A627" s="2" t="s">
        <v>1146</v>
      </c>
      <c r="B627" s="3" t="s">
        <v>46</v>
      </c>
      <c r="C627" s="3" t="s">
        <v>1150</v>
      </c>
      <c r="D627" s="94" t="s">
        <v>1151</v>
      </c>
      <c r="E627" s="94"/>
      <c r="F627" s="3" t="s">
        <v>52</v>
      </c>
      <c r="G627" s="25">
        <v>2</v>
      </c>
      <c r="H627" s="45">
        <v>0</v>
      </c>
    </row>
    <row r="628" spans="1:8" x14ac:dyDescent="0.25">
      <c r="A628" s="2" t="s">
        <v>1149</v>
      </c>
      <c r="B628" s="3" t="s">
        <v>46</v>
      </c>
      <c r="C628" s="3" t="s">
        <v>1153</v>
      </c>
      <c r="D628" s="94" t="s">
        <v>1154</v>
      </c>
      <c r="E628" s="94"/>
      <c r="F628" s="3" t="s">
        <v>52</v>
      </c>
      <c r="G628" s="25">
        <v>2</v>
      </c>
      <c r="H628" s="45">
        <v>0</v>
      </c>
    </row>
    <row r="629" spans="1:8" x14ac:dyDescent="0.25">
      <c r="A629" s="2" t="s">
        <v>1152</v>
      </c>
      <c r="B629" s="3" t="s">
        <v>46</v>
      </c>
      <c r="C629" s="3" t="s">
        <v>1156</v>
      </c>
      <c r="D629" s="94" t="s">
        <v>1157</v>
      </c>
      <c r="E629" s="94"/>
      <c r="F629" s="3" t="s">
        <v>93</v>
      </c>
      <c r="G629" s="25">
        <v>5.47</v>
      </c>
      <c r="H629" s="45">
        <v>0</v>
      </c>
    </row>
    <row r="630" spans="1:8" x14ac:dyDescent="0.25">
      <c r="A630" s="2" t="s">
        <v>1155</v>
      </c>
      <c r="B630" s="3" t="s">
        <v>46</v>
      </c>
      <c r="C630" s="3" t="s">
        <v>1159</v>
      </c>
      <c r="D630" s="94" t="s">
        <v>1160</v>
      </c>
      <c r="E630" s="94"/>
      <c r="F630" s="3" t="s">
        <v>93</v>
      </c>
      <c r="G630" s="25">
        <v>7.49</v>
      </c>
      <c r="H630" s="45">
        <v>0</v>
      </c>
    </row>
    <row r="631" spans="1:8" x14ac:dyDescent="0.25">
      <c r="A631" s="2" t="s">
        <v>1158</v>
      </c>
      <c r="B631" s="3" t="s">
        <v>46</v>
      </c>
      <c r="C631" s="3" t="s">
        <v>1162</v>
      </c>
      <c r="D631" s="94" t="s">
        <v>1163</v>
      </c>
      <c r="E631" s="94"/>
      <c r="F631" s="3" t="s">
        <v>52</v>
      </c>
      <c r="G631" s="25">
        <v>1</v>
      </c>
      <c r="H631" s="45">
        <v>0</v>
      </c>
    </row>
    <row r="632" spans="1:8" x14ac:dyDescent="0.25">
      <c r="A632" s="2" t="s">
        <v>1161</v>
      </c>
      <c r="B632" s="3" t="s">
        <v>46</v>
      </c>
      <c r="C632" s="3" t="s">
        <v>1165</v>
      </c>
      <c r="D632" s="94" t="s">
        <v>1166</v>
      </c>
      <c r="E632" s="94"/>
      <c r="F632" s="3" t="s">
        <v>52</v>
      </c>
      <c r="G632" s="25">
        <v>3</v>
      </c>
      <c r="H632" s="45">
        <v>0</v>
      </c>
    </row>
    <row r="633" spans="1:8" x14ac:dyDescent="0.25">
      <c r="A633" s="2" t="s">
        <v>1164</v>
      </c>
      <c r="B633" s="3" t="s">
        <v>46</v>
      </c>
      <c r="C633" s="3" t="s">
        <v>1168</v>
      </c>
      <c r="D633" s="94" t="s">
        <v>1169</v>
      </c>
      <c r="E633" s="94"/>
      <c r="F633" s="3" t="s">
        <v>131</v>
      </c>
      <c r="G633" s="25">
        <v>3.4</v>
      </c>
      <c r="H633" s="45">
        <v>0</v>
      </c>
    </row>
    <row r="634" spans="1:8" x14ac:dyDescent="0.25">
      <c r="A634" s="2" t="s">
        <v>1167</v>
      </c>
      <c r="B634" s="3" t="s">
        <v>46</v>
      </c>
      <c r="C634" s="3" t="s">
        <v>1171</v>
      </c>
      <c r="D634" s="94" t="s">
        <v>1172</v>
      </c>
      <c r="E634" s="94"/>
      <c r="F634" s="3" t="s">
        <v>52</v>
      </c>
      <c r="G634" s="25">
        <v>5</v>
      </c>
      <c r="H634" s="45">
        <v>0</v>
      </c>
    </row>
    <row r="635" spans="1:8" x14ac:dyDescent="0.25">
      <c r="A635" s="2" t="s">
        <v>1170</v>
      </c>
      <c r="B635" s="3" t="s">
        <v>46</v>
      </c>
      <c r="C635" s="3" t="s">
        <v>1174</v>
      </c>
      <c r="D635" s="94" t="s">
        <v>1175</v>
      </c>
      <c r="E635" s="94"/>
      <c r="F635" s="3" t="s">
        <v>52</v>
      </c>
      <c r="G635" s="25">
        <v>7</v>
      </c>
      <c r="H635" s="45">
        <v>0</v>
      </c>
    </row>
    <row r="636" spans="1:8" x14ac:dyDescent="0.25">
      <c r="A636" s="2" t="s">
        <v>1173</v>
      </c>
      <c r="B636" s="3" t="s">
        <v>46</v>
      </c>
      <c r="C636" s="3" t="s">
        <v>1177</v>
      </c>
      <c r="D636" s="94" t="s">
        <v>1178</v>
      </c>
      <c r="E636" s="94"/>
      <c r="F636" s="3" t="s">
        <v>52</v>
      </c>
      <c r="G636" s="25">
        <v>4</v>
      </c>
      <c r="H636" s="45">
        <v>0</v>
      </c>
    </row>
    <row r="637" spans="1:8" x14ac:dyDescent="0.25">
      <c r="A637" s="2" t="s">
        <v>1176</v>
      </c>
      <c r="B637" s="3" t="s">
        <v>46</v>
      </c>
      <c r="C637" s="3" t="s">
        <v>1180</v>
      </c>
      <c r="D637" s="94" t="s">
        <v>1181</v>
      </c>
      <c r="E637" s="94"/>
      <c r="F637" s="3" t="s">
        <v>52</v>
      </c>
      <c r="G637" s="25">
        <v>1</v>
      </c>
      <c r="H637" s="45">
        <v>0</v>
      </c>
    </row>
    <row r="638" spans="1:8" x14ac:dyDescent="0.25">
      <c r="A638" s="2" t="s">
        <v>1179</v>
      </c>
      <c r="B638" s="3" t="s">
        <v>46</v>
      </c>
      <c r="C638" s="3" t="s">
        <v>1183</v>
      </c>
      <c r="D638" s="94" t="s">
        <v>1184</v>
      </c>
      <c r="E638" s="94"/>
      <c r="F638" s="3" t="s">
        <v>52</v>
      </c>
      <c r="G638" s="25">
        <v>6</v>
      </c>
      <c r="H638" s="45">
        <v>0</v>
      </c>
    </row>
    <row r="639" spans="1:8" x14ac:dyDescent="0.25">
      <c r="A639" s="2" t="s">
        <v>1182</v>
      </c>
      <c r="B639" s="3" t="s">
        <v>46</v>
      </c>
      <c r="C639" s="3" t="s">
        <v>1186</v>
      </c>
      <c r="D639" s="94" t="s">
        <v>1187</v>
      </c>
      <c r="E639" s="94"/>
      <c r="F639" s="3" t="s">
        <v>52</v>
      </c>
      <c r="G639" s="25">
        <v>1</v>
      </c>
      <c r="H639" s="45">
        <v>0</v>
      </c>
    </row>
    <row r="640" spans="1:8" x14ac:dyDescent="0.25">
      <c r="A640" s="2" t="s">
        <v>1185</v>
      </c>
      <c r="B640" s="3" t="s">
        <v>46</v>
      </c>
      <c r="C640" s="3" t="s">
        <v>1189</v>
      </c>
      <c r="D640" s="94" t="s">
        <v>1190</v>
      </c>
      <c r="E640" s="94"/>
      <c r="F640" s="3" t="s">
        <v>93</v>
      </c>
      <c r="G640" s="25">
        <v>99</v>
      </c>
      <c r="H640" s="45">
        <v>0</v>
      </c>
    </row>
    <row r="641" spans="1:8" x14ac:dyDescent="0.25">
      <c r="A641" s="2" t="s">
        <v>1188</v>
      </c>
      <c r="B641" s="3" t="s">
        <v>46</v>
      </c>
      <c r="C641" s="3" t="s">
        <v>1192</v>
      </c>
      <c r="D641" s="94" t="s">
        <v>1193</v>
      </c>
      <c r="E641" s="94"/>
      <c r="F641" s="3" t="s">
        <v>52</v>
      </c>
      <c r="G641" s="25">
        <v>1</v>
      </c>
      <c r="H641" s="45">
        <v>0</v>
      </c>
    </row>
    <row r="642" spans="1:8" x14ac:dyDescent="0.25">
      <c r="A642" s="2" t="s">
        <v>1191</v>
      </c>
      <c r="B642" s="3" t="s">
        <v>46</v>
      </c>
      <c r="C642" s="3" t="s">
        <v>1195</v>
      </c>
      <c r="D642" s="94" t="s">
        <v>1196</v>
      </c>
      <c r="E642" s="94"/>
      <c r="F642" s="3" t="s">
        <v>93</v>
      </c>
      <c r="G642" s="25">
        <v>80</v>
      </c>
      <c r="H642" s="45">
        <v>0</v>
      </c>
    </row>
    <row r="643" spans="1:8" x14ac:dyDescent="0.25">
      <c r="A643" s="2" t="s">
        <v>1194</v>
      </c>
      <c r="B643" s="3" t="s">
        <v>46</v>
      </c>
      <c r="C643" s="3" t="s">
        <v>1198</v>
      </c>
      <c r="D643" s="94" t="s">
        <v>1199</v>
      </c>
      <c r="E643" s="94"/>
      <c r="F643" s="3" t="s">
        <v>131</v>
      </c>
      <c r="G643" s="25">
        <v>120</v>
      </c>
      <c r="H643" s="45">
        <v>0</v>
      </c>
    </row>
    <row r="644" spans="1:8" x14ac:dyDescent="0.25">
      <c r="A644" s="2" t="s">
        <v>1197</v>
      </c>
      <c r="B644" s="3" t="s">
        <v>46</v>
      </c>
      <c r="C644" s="3" t="s">
        <v>1201</v>
      </c>
      <c r="D644" s="94" t="s">
        <v>1202</v>
      </c>
      <c r="E644" s="94"/>
      <c r="F644" s="3" t="s">
        <v>131</v>
      </c>
      <c r="G644" s="25">
        <v>7.7</v>
      </c>
      <c r="H644" s="45">
        <v>0</v>
      </c>
    </row>
    <row r="645" spans="1:8" x14ac:dyDescent="0.25">
      <c r="A645" s="2" t="s">
        <v>1200</v>
      </c>
      <c r="B645" s="3" t="s">
        <v>46</v>
      </c>
      <c r="C645" s="3" t="s">
        <v>1204</v>
      </c>
      <c r="D645" s="94" t="s">
        <v>1205</v>
      </c>
      <c r="E645" s="94"/>
      <c r="F645" s="3" t="s">
        <v>131</v>
      </c>
      <c r="G645" s="25">
        <v>3.2</v>
      </c>
      <c r="H645" s="45">
        <v>0</v>
      </c>
    </row>
    <row r="646" spans="1:8" x14ac:dyDescent="0.25">
      <c r="A646" s="2" t="s">
        <v>1203</v>
      </c>
      <c r="B646" s="3" t="s">
        <v>46</v>
      </c>
      <c r="C646" s="3" t="s">
        <v>1207</v>
      </c>
      <c r="D646" s="94" t="s">
        <v>1208</v>
      </c>
      <c r="E646" s="94"/>
      <c r="F646" s="3" t="s">
        <v>131</v>
      </c>
      <c r="G646" s="25">
        <v>10.6</v>
      </c>
      <c r="H646" s="45">
        <v>0</v>
      </c>
    </row>
    <row r="647" spans="1:8" x14ac:dyDescent="0.25">
      <c r="A647" s="2" t="s">
        <v>1206</v>
      </c>
      <c r="B647" s="3" t="s">
        <v>46</v>
      </c>
      <c r="C647" s="3" t="s">
        <v>1210</v>
      </c>
      <c r="D647" s="94" t="s">
        <v>1211</v>
      </c>
      <c r="E647" s="94"/>
      <c r="F647" s="3" t="s">
        <v>131</v>
      </c>
      <c r="G647" s="25">
        <v>6.3</v>
      </c>
      <c r="H647" s="45">
        <v>0</v>
      </c>
    </row>
    <row r="648" spans="1:8" x14ac:dyDescent="0.25">
      <c r="A648" s="2" t="s">
        <v>1209</v>
      </c>
      <c r="B648" s="3" t="s">
        <v>46</v>
      </c>
      <c r="C648" s="3" t="s">
        <v>1213</v>
      </c>
      <c r="D648" s="94" t="s">
        <v>1214</v>
      </c>
      <c r="E648" s="94"/>
      <c r="F648" s="3" t="s">
        <v>131</v>
      </c>
      <c r="G648" s="25">
        <v>7.8</v>
      </c>
      <c r="H648" s="45">
        <v>0</v>
      </c>
    </row>
    <row r="649" spans="1:8" x14ac:dyDescent="0.25">
      <c r="A649" s="2" t="s">
        <v>1212</v>
      </c>
      <c r="B649" s="3" t="s">
        <v>46</v>
      </c>
      <c r="C649" s="3" t="s">
        <v>1216</v>
      </c>
      <c r="D649" s="94" t="s">
        <v>1217</v>
      </c>
      <c r="E649" s="94"/>
      <c r="F649" s="3" t="s">
        <v>131</v>
      </c>
      <c r="G649" s="25">
        <v>130</v>
      </c>
      <c r="H649" s="45">
        <v>0</v>
      </c>
    </row>
    <row r="650" spans="1:8" x14ac:dyDescent="0.25">
      <c r="A650" s="2" t="s">
        <v>1215</v>
      </c>
      <c r="B650" s="3" t="s">
        <v>46</v>
      </c>
      <c r="C650" s="3" t="s">
        <v>1219</v>
      </c>
      <c r="D650" s="94" t="s">
        <v>1220</v>
      </c>
      <c r="E650" s="94"/>
      <c r="F650" s="3" t="s">
        <v>131</v>
      </c>
      <c r="G650" s="25">
        <v>155</v>
      </c>
      <c r="H650" s="45">
        <v>0</v>
      </c>
    </row>
    <row r="651" spans="1:8" x14ac:dyDescent="0.25">
      <c r="A651" s="2" t="s">
        <v>1218</v>
      </c>
      <c r="B651" s="3" t="s">
        <v>46</v>
      </c>
      <c r="C651" s="3" t="s">
        <v>1222</v>
      </c>
      <c r="D651" s="94" t="s">
        <v>1223</v>
      </c>
      <c r="E651" s="94"/>
      <c r="F651" s="3" t="s">
        <v>131</v>
      </c>
      <c r="G651" s="25">
        <v>7.3</v>
      </c>
      <c r="H651" s="45">
        <v>0</v>
      </c>
    </row>
    <row r="652" spans="1:8" x14ac:dyDescent="0.25">
      <c r="A652" s="2" t="s">
        <v>1221</v>
      </c>
      <c r="B652" s="3" t="s">
        <v>46</v>
      </c>
      <c r="C652" s="3" t="s">
        <v>1225</v>
      </c>
      <c r="D652" s="94" t="s">
        <v>1226</v>
      </c>
      <c r="E652" s="94"/>
      <c r="F652" s="3" t="s">
        <v>342</v>
      </c>
      <c r="G652" s="25">
        <v>1</v>
      </c>
      <c r="H652" s="45">
        <v>0</v>
      </c>
    </row>
    <row r="653" spans="1:8" x14ac:dyDescent="0.25">
      <c r="A653" s="2" t="s">
        <v>1224</v>
      </c>
      <c r="B653" s="3" t="s">
        <v>46</v>
      </c>
      <c r="C653" s="3" t="s">
        <v>1228</v>
      </c>
      <c r="D653" s="94" t="s">
        <v>1229</v>
      </c>
      <c r="E653" s="94"/>
      <c r="F653" s="3" t="s">
        <v>52</v>
      </c>
      <c r="G653" s="25">
        <v>1</v>
      </c>
      <c r="H653" s="45">
        <v>0</v>
      </c>
    </row>
    <row r="654" spans="1:8" x14ac:dyDescent="0.25">
      <c r="A654" s="2" t="s">
        <v>1227</v>
      </c>
      <c r="B654" s="3" t="s">
        <v>46</v>
      </c>
      <c r="C654" s="3" t="s">
        <v>1231</v>
      </c>
      <c r="D654" s="94" t="s">
        <v>1232</v>
      </c>
      <c r="E654" s="94"/>
      <c r="F654" s="3" t="s">
        <v>52</v>
      </c>
      <c r="G654" s="25">
        <v>1</v>
      </c>
      <c r="H654" s="45">
        <v>0</v>
      </c>
    </row>
    <row r="655" spans="1:8" x14ac:dyDescent="0.25">
      <c r="A655" s="2" t="s">
        <v>1230</v>
      </c>
      <c r="B655" s="3" t="s">
        <v>46</v>
      </c>
      <c r="C655" s="3" t="s">
        <v>1234</v>
      </c>
      <c r="D655" s="94" t="s">
        <v>1235</v>
      </c>
      <c r="E655" s="94"/>
      <c r="F655" s="3" t="s">
        <v>52</v>
      </c>
      <c r="G655" s="25">
        <v>1</v>
      </c>
      <c r="H655" s="45">
        <v>0</v>
      </c>
    </row>
    <row r="656" spans="1:8" x14ac:dyDescent="0.25">
      <c r="A656" s="2" t="s">
        <v>1233</v>
      </c>
      <c r="B656" s="3" t="s">
        <v>46</v>
      </c>
      <c r="C656" s="3" t="s">
        <v>1237</v>
      </c>
      <c r="D656" s="94" t="s">
        <v>1238</v>
      </c>
      <c r="E656" s="94"/>
      <c r="F656" s="3" t="s">
        <v>52</v>
      </c>
      <c r="G656" s="25">
        <v>1</v>
      </c>
      <c r="H656" s="45">
        <v>0</v>
      </c>
    </row>
    <row r="657" spans="1:8" x14ac:dyDescent="0.25">
      <c r="A657" s="58" t="s">
        <v>46</v>
      </c>
      <c r="B657" s="29" t="s">
        <v>46</v>
      </c>
      <c r="C657" s="29" t="s">
        <v>1239</v>
      </c>
      <c r="D657" s="151" t="s">
        <v>1240</v>
      </c>
      <c r="E657" s="151"/>
      <c r="F657" s="29" t="s">
        <v>46</v>
      </c>
      <c r="G657" s="11" t="s">
        <v>46</v>
      </c>
      <c r="H657" s="31" t="s">
        <v>46</v>
      </c>
    </row>
    <row r="658" spans="1:8" x14ac:dyDescent="0.25">
      <c r="A658" s="2" t="s">
        <v>1236</v>
      </c>
      <c r="B658" s="3" t="s">
        <v>46</v>
      </c>
      <c r="C658" s="3" t="s">
        <v>1242</v>
      </c>
      <c r="D658" s="94" t="s">
        <v>1243</v>
      </c>
      <c r="E658" s="94"/>
      <c r="F658" s="3" t="s">
        <v>131</v>
      </c>
      <c r="G658" s="25">
        <v>98.9</v>
      </c>
      <c r="H658" s="45">
        <v>0</v>
      </c>
    </row>
    <row r="659" spans="1:8" x14ac:dyDescent="0.25">
      <c r="A659" s="2" t="s">
        <v>1241</v>
      </c>
      <c r="B659" s="3" t="s">
        <v>46</v>
      </c>
      <c r="C659" s="3" t="s">
        <v>1247</v>
      </c>
      <c r="D659" s="94" t="s">
        <v>1248</v>
      </c>
      <c r="E659" s="94"/>
      <c r="F659" s="3" t="s">
        <v>52</v>
      </c>
      <c r="G659" s="25">
        <v>24</v>
      </c>
      <c r="H659" s="45">
        <v>0</v>
      </c>
    </row>
    <row r="660" spans="1:8" x14ac:dyDescent="0.25">
      <c r="A660" s="2" t="s">
        <v>1246</v>
      </c>
      <c r="B660" s="3" t="s">
        <v>46</v>
      </c>
      <c r="C660" s="3" t="s">
        <v>1250</v>
      </c>
      <c r="D660" s="94" t="s">
        <v>1251</v>
      </c>
      <c r="E660" s="94"/>
      <c r="F660" s="3" t="s">
        <v>131</v>
      </c>
      <c r="G660" s="25">
        <v>280.8</v>
      </c>
      <c r="H660" s="45">
        <v>0</v>
      </c>
    </row>
    <row r="661" spans="1:8" x14ac:dyDescent="0.25">
      <c r="A661" s="2" t="s">
        <v>1249</v>
      </c>
      <c r="B661" s="3" t="s">
        <v>46</v>
      </c>
      <c r="C661" s="3" t="s">
        <v>1253</v>
      </c>
      <c r="D661" s="94" t="s">
        <v>1254</v>
      </c>
      <c r="E661" s="94"/>
      <c r="F661" s="3" t="s">
        <v>131</v>
      </c>
      <c r="G661" s="25">
        <v>59</v>
      </c>
      <c r="H661" s="45">
        <v>0</v>
      </c>
    </row>
    <row r="662" spans="1:8" x14ac:dyDescent="0.25">
      <c r="A662" s="2" t="s">
        <v>1252</v>
      </c>
      <c r="B662" s="3" t="s">
        <v>46</v>
      </c>
      <c r="C662" s="3" t="s">
        <v>1256</v>
      </c>
      <c r="D662" s="94" t="s">
        <v>1257</v>
      </c>
      <c r="E662" s="94"/>
      <c r="F662" s="3" t="s">
        <v>131</v>
      </c>
      <c r="G662" s="25">
        <v>180</v>
      </c>
      <c r="H662" s="45">
        <v>0</v>
      </c>
    </row>
    <row r="663" spans="1:8" x14ac:dyDescent="0.25">
      <c r="A663" s="2" t="s">
        <v>1255</v>
      </c>
      <c r="B663" s="3" t="s">
        <v>46</v>
      </c>
      <c r="C663" s="3" t="s">
        <v>1259</v>
      </c>
      <c r="D663" s="94" t="s">
        <v>1260</v>
      </c>
      <c r="E663" s="94"/>
      <c r="F663" s="3" t="s">
        <v>52</v>
      </c>
      <c r="G663" s="25">
        <v>1</v>
      </c>
      <c r="H663" s="45">
        <v>0</v>
      </c>
    </row>
    <row r="664" spans="1:8" x14ac:dyDescent="0.25">
      <c r="A664" s="2" t="s">
        <v>1258</v>
      </c>
      <c r="B664" s="3" t="s">
        <v>46</v>
      </c>
      <c r="C664" s="3" t="s">
        <v>1262</v>
      </c>
      <c r="D664" s="94" t="s">
        <v>1263</v>
      </c>
      <c r="E664" s="94"/>
      <c r="F664" s="3" t="s">
        <v>52</v>
      </c>
      <c r="G664" s="25">
        <v>1</v>
      </c>
      <c r="H664" s="45">
        <v>0</v>
      </c>
    </row>
    <row r="665" spans="1:8" x14ac:dyDescent="0.25">
      <c r="A665" s="2" t="s">
        <v>1261</v>
      </c>
      <c r="B665" s="3" t="s">
        <v>46</v>
      </c>
      <c r="C665" s="3" t="s">
        <v>1265</v>
      </c>
      <c r="D665" s="94" t="s">
        <v>1266</v>
      </c>
      <c r="E665" s="94"/>
      <c r="F665" s="3" t="s">
        <v>52</v>
      </c>
      <c r="G665" s="25">
        <v>2</v>
      </c>
      <c r="H665" s="45">
        <v>0</v>
      </c>
    </row>
    <row r="666" spans="1:8" x14ac:dyDescent="0.25">
      <c r="A666" s="2" t="s">
        <v>1264</v>
      </c>
      <c r="B666" s="3" t="s">
        <v>46</v>
      </c>
      <c r="C666" s="3" t="s">
        <v>1268</v>
      </c>
      <c r="D666" s="94" t="s">
        <v>1269</v>
      </c>
      <c r="E666" s="94"/>
      <c r="F666" s="3" t="s">
        <v>52</v>
      </c>
      <c r="G666" s="25">
        <v>1</v>
      </c>
      <c r="H666" s="45">
        <v>0</v>
      </c>
    </row>
    <row r="667" spans="1:8" x14ac:dyDescent="0.25">
      <c r="A667" s="2" t="s">
        <v>1267</v>
      </c>
      <c r="B667" s="3" t="s">
        <v>46</v>
      </c>
      <c r="C667" s="3" t="s">
        <v>1271</v>
      </c>
      <c r="D667" s="94" t="s">
        <v>1272</v>
      </c>
      <c r="E667" s="94"/>
      <c r="F667" s="3" t="s">
        <v>52</v>
      </c>
      <c r="G667" s="25">
        <v>1</v>
      </c>
      <c r="H667" s="45">
        <v>0</v>
      </c>
    </row>
    <row r="668" spans="1:8" x14ac:dyDescent="0.25">
      <c r="A668" s="2" t="s">
        <v>1270</v>
      </c>
      <c r="B668" s="3" t="s">
        <v>46</v>
      </c>
      <c r="C668" s="3" t="s">
        <v>1274</v>
      </c>
      <c r="D668" s="94" t="s">
        <v>1275</v>
      </c>
      <c r="E668" s="94"/>
      <c r="F668" s="3" t="s">
        <v>52</v>
      </c>
      <c r="G668" s="25">
        <v>3</v>
      </c>
      <c r="H668" s="45">
        <v>0</v>
      </c>
    </row>
    <row r="669" spans="1:8" x14ac:dyDescent="0.25">
      <c r="A669" s="2" t="s">
        <v>1273</v>
      </c>
      <c r="B669" s="3" t="s">
        <v>46</v>
      </c>
      <c r="C669" s="3" t="s">
        <v>1277</v>
      </c>
      <c r="D669" s="94" t="s">
        <v>1278</v>
      </c>
      <c r="E669" s="94"/>
      <c r="F669" s="3" t="s">
        <v>52</v>
      </c>
      <c r="G669" s="25">
        <v>2</v>
      </c>
      <c r="H669" s="45">
        <v>0</v>
      </c>
    </row>
    <row r="670" spans="1:8" x14ac:dyDescent="0.25">
      <c r="A670" s="2" t="s">
        <v>1276</v>
      </c>
      <c r="B670" s="3" t="s">
        <v>46</v>
      </c>
      <c r="C670" s="3" t="s">
        <v>1280</v>
      </c>
      <c r="D670" s="94" t="s">
        <v>1281</v>
      </c>
      <c r="E670" s="94"/>
      <c r="F670" s="3" t="s">
        <v>52</v>
      </c>
      <c r="G670" s="25">
        <v>3</v>
      </c>
      <c r="H670" s="45">
        <v>0</v>
      </c>
    </row>
    <row r="671" spans="1:8" x14ac:dyDescent="0.25">
      <c r="A671" s="2" t="s">
        <v>1279</v>
      </c>
      <c r="B671" s="3" t="s">
        <v>46</v>
      </c>
      <c r="C671" s="3" t="s">
        <v>1283</v>
      </c>
      <c r="D671" s="94" t="s">
        <v>1284</v>
      </c>
      <c r="E671" s="94"/>
      <c r="F671" s="3" t="s">
        <v>52</v>
      </c>
      <c r="G671" s="25">
        <v>1</v>
      </c>
      <c r="H671" s="45">
        <v>0</v>
      </c>
    </row>
    <row r="672" spans="1:8" x14ac:dyDescent="0.25">
      <c r="A672" s="2" t="s">
        <v>1282</v>
      </c>
      <c r="B672" s="3" t="s">
        <v>46</v>
      </c>
      <c r="C672" s="3" t="s">
        <v>1286</v>
      </c>
      <c r="D672" s="94" t="s">
        <v>1287</v>
      </c>
      <c r="E672" s="94"/>
      <c r="F672" s="3" t="s">
        <v>52</v>
      </c>
      <c r="G672" s="25">
        <v>1</v>
      </c>
      <c r="H672" s="45">
        <v>0</v>
      </c>
    </row>
    <row r="673" spans="1:8" x14ac:dyDescent="0.25">
      <c r="A673" s="2" t="s">
        <v>1285</v>
      </c>
      <c r="B673" s="3" t="s">
        <v>46</v>
      </c>
      <c r="C673" s="3" t="s">
        <v>1289</v>
      </c>
      <c r="D673" s="94" t="s">
        <v>1290</v>
      </c>
      <c r="E673" s="94"/>
      <c r="F673" s="3" t="s">
        <v>52</v>
      </c>
      <c r="G673" s="25">
        <v>2</v>
      </c>
      <c r="H673" s="45">
        <v>0</v>
      </c>
    </row>
    <row r="674" spans="1:8" x14ac:dyDescent="0.25">
      <c r="A674" s="2" t="s">
        <v>1288</v>
      </c>
      <c r="B674" s="3" t="s">
        <v>46</v>
      </c>
      <c r="C674" s="3" t="s">
        <v>1292</v>
      </c>
      <c r="D674" s="94" t="s">
        <v>1293</v>
      </c>
      <c r="E674" s="94"/>
      <c r="F674" s="3" t="s">
        <v>52</v>
      </c>
      <c r="G674" s="25">
        <v>5</v>
      </c>
      <c r="H674" s="45">
        <v>0</v>
      </c>
    </row>
    <row r="675" spans="1:8" x14ac:dyDescent="0.25">
      <c r="A675" s="2" t="s">
        <v>1291</v>
      </c>
      <c r="B675" s="3" t="s">
        <v>46</v>
      </c>
      <c r="C675" s="3" t="s">
        <v>1295</v>
      </c>
      <c r="D675" s="94" t="s">
        <v>1296</v>
      </c>
      <c r="E675" s="94"/>
      <c r="F675" s="3" t="s">
        <v>52</v>
      </c>
      <c r="G675" s="25">
        <v>4</v>
      </c>
      <c r="H675" s="45">
        <v>0</v>
      </c>
    </row>
    <row r="676" spans="1:8" x14ac:dyDescent="0.25">
      <c r="A676" s="2" t="s">
        <v>1294</v>
      </c>
      <c r="B676" s="3" t="s">
        <v>46</v>
      </c>
      <c r="C676" s="3" t="s">
        <v>1298</v>
      </c>
      <c r="D676" s="94" t="s">
        <v>1299</v>
      </c>
      <c r="E676" s="94"/>
      <c r="F676" s="3" t="s">
        <v>52</v>
      </c>
      <c r="G676" s="25">
        <v>1</v>
      </c>
      <c r="H676" s="45">
        <v>0</v>
      </c>
    </row>
    <row r="677" spans="1:8" x14ac:dyDescent="0.25">
      <c r="A677" s="2" t="s">
        <v>1297</v>
      </c>
      <c r="B677" s="3" t="s">
        <v>46</v>
      </c>
      <c r="C677" s="3" t="s">
        <v>1301</v>
      </c>
      <c r="D677" s="94" t="s">
        <v>1302</v>
      </c>
      <c r="E677" s="94"/>
      <c r="F677" s="3" t="s">
        <v>52</v>
      </c>
      <c r="G677" s="25">
        <v>1</v>
      </c>
      <c r="H677" s="45">
        <v>0</v>
      </c>
    </row>
    <row r="678" spans="1:8" x14ac:dyDescent="0.25">
      <c r="A678" s="2" t="s">
        <v>1300</v>
      </c>
      <c r="B678" s="3" t="s">
        <v>46</v>
      </c>
      <c r="C678" s="3" t="s">
        <v>1304</v>
      </c>
      <c r="D678" s="94" t="s">
        <v>1305</v>
      </c>
      <c r="E678" s="94"/>
      <c r="F678" s="3" t="s">
        <v>52</v>
      </c>
      <c r="G678" s="25">
        <v>1</v>
      </c>
      <c r="H678" s="45">
        <v>0</v>
      </c>
    </row>
    <row r="679" spans="1:8" x14ac:dyDescent="0.25">
      <c r="A679" s="2" t="s">
        <v>1303</v>
      </c>
      <c r="B679" s="3" t="s">
        <v>46</v>
      </c>
      <c r="C679" s="3" t="s">
        <v>1307</v>
      </c>
      <c r="D679" s="94" t="s">
        <v>1308</v>
      </c>
      <c r="E679" s="94"/>
      <c r="F679" s="3" t="s">
        <v>52</v>
      </c>
      <c r="G679" s="25">
        <v>1</v>
      </c>
      <c r="H679" s="45">
        <v>0</v>
      </c>
    </row>
    <row r="680" spans="1:8" x14ac:dyDescent="0.25">
      <c r="A680" s="2" t="s">
        <v>1306</v>
      </c>
      <c r="B680" s="3" t="s">
        <v>46</v>
      </c>
      <c r="C680" s="3" t="s">
        <v>1310</v>
      </c>
      <c r="D680" s="94" t="s">
        <v>1311</v>
      </c>
      <c r="E680" s="94"/>
      <c r="F680" s="3" t="s">
        <v>52</v>
      </c>
      <c r="G680" s="25">
        <v>1</v>
      </c>
      <c r="H680" s="45">
        <v>0</v>
      </c>
    </row>
    <row r="681" spans="1:8" x14ac:dyDescent="0.25">
      <c r="A681" s="2" t="s">
        <v>1309</v>
      </c>
      <c r="B681" s="3" t="s">
        <v>46</v>
      </c>
      <c r="C681" s="3" t="s">
        <v>1313</v>
      </c>
      <c r="D681" s="94" t="s">
        <v>1314</v>
      </c>
      <c r="E681" s="94"/>
      <c r="F681" s="3" t="s">
        <v>52</v>
      </c>
      <c r="G681" s="25">
        <v>1</v>
      </c>
      <c r="H681" s="45">
        <v>0</v>
      </c>
    </row>
    <row r="682" spans="1:8" x14ac:dyDescent="0.25">
      <c r="A682" s="2" t="s">
        <v>1312</v>
      </c>
      <c r="B682" s="3" t="s">
        <v>46</v>
      </c>
      <c r="C682" s="3" t="s">
        <v>1316</v>
      </c>
      <c r="D682" s="94" t="s">
        <v>1317</v>
      </c>
      <c r="E682" s="94"/>
      <c r="F682" s="3" t="s">
        <v>52</v>
      </c>
      <c r="G682" s="25">
        <v>31</v>
      </c>
      <c r="H682" s="45">
        <v>0</v>
      </c>
    </row>
    <row r="683" spans="1:8" x14ac:dyDescent="0.25">
      <c r="A683" s="2" t="s">
        <v>1315</v>
      </c>
      <c r="B683" s="3" t="s">
        <v>46</v>
      </c>
      <c r="C683" s="3" t="s">
        <v>1319</v>
      </c>
      <c r="D683" s="94" t="s">
        <v>1320</v>
      </c>
      <c r="E683" s="94"/>
      <c r="F683" s="3" t="s">
        <v>52</v>
      </c>
      <c r="G683" s="25">
        <v>32</v>
      </c>
      <c r="H683" s="45">
        <v>0</v>
      </c>
    </row>
    <row r="684" spans="1:8" x14ac:dyDescent="0.25">
      <c r="A684" s="2" t="s">
        <v>1318</v>
      </c>
      <c r="B684" s="3" t="s">
        <v>46</v>
      </c>
      <c r="C684" s="3" t="s">
        <v>1322</v>
      </c>
      <c r="D684" s="94" t="s">
        <v>1323</v>
      </c>
      <c r="E684" s="94"/>
      <c r="F684" s="3" t="s">
        <v>52</v>
      </c>
      <c r="G684" s="25">
        <v>32</v>
      </c>
      <c r="H684" s="45">
        <v>0</v>
      </c>
    </row>
    <row r="685" spans="1:8" x14ac:dyDescent="0.25">
      <c r="A685" s="2" t="s">
        <v>1321</v>
      </c>
      <c r="B685" s="3" t="s">
        <v>46</v>
      </c>
      <c r="C685" s="3" t="s">
        <v>1325</v>
      </c>
      <c r="D685" s="94" t="s">
        <v>1326</v>
      </c>
      <c r="E685" s="94"/>
      <c r="F685" s="3" t="s">
        <v>52</v>
      </c>
      <c r="G685" s="25">
        <v>28</v>
      </c>
      <c r="H685" s="45">
        <v>0</v>
      </c>
    </row>
    <row r="686" spans="1:8" x14ac:dyDescent="0.25">
      <c r="A686" s="2" t="s">
        <v>1324</v>
      </c>
      <c r="B686" s="3" t="s">
        <v>46</v>
      </c>
      <c r="C686" s="3" t="s">
        <v>1328</v>
      </c>
      <c r="D686" s="94" t="s">
        <v>1329</v>
      </c>
      <c r="E686" s="94"/>
      <c r="F686" s="3" t="s">
        <v>52</v>
      </c>
      <c r="G686" s="25">
        <v>4</v>
      </c>
      <c r="H686" s="45">
        <v>0</v>
      </c>
    </row>
    <row r="687" spans="1:8" x14ac:dyDescent="0.25">
      <c r="A687" s="2" t="s">
        <v>1327</v>
      </c>
      <c r="B687" s="3" t="s">
        <v>46</v>
      </c>
      <c r="C687" s="3" t="s">
        <v>1331</v>
      </c>
      <c r="D687" s="94" t="s">
        <v>1332</v>
      </c>
      <c r="E687" s="94"/>
      <c r="F687" s="3" t="s">
        <v>52</v>
      </c>
      <c r="G687" s="25">
        <v>32</v>
      </c>
      <c r="H687" s="45">
        <v>0</v>
      </c>
    </row>
    <row r="688" spans="1:8" x14ac:dyDescent="0.25">
      <c r="A688" s="2" t="s">
        <v>1330</v>
      </c>
      <c r="B688" s="3" t="s">
        <v>46</v>
      </c>
      <c r="C688" s="3" t="s">
        <v>1334</v>
      </c>
      <c r="D688" s="94" t="s">
        <v>1335</v>
      </c>
      <c r="E688" s="94"/>
      <c r="F688" s="3" t="s">
        <v>52</v>
      </c>
      <c r="G688" s="25">
        <v>32</v>
      </c>
      <c r="H688" s="45">
        <v>0</v>
      </c>
    </row>
    <row r="689" spans="1:8" x14ac:dyDescent="0.25">
      <c r="A689" s="2" t="s">
        <v>1333</v>
      </c>
      <c r="B689" s="3" t="s">
        <v>46</v>
      </c>
      <c r="C689" s="3" t="s">
        <v>1337</v>
      </c>
      <c r="D689" s="94" t="s">
        <v>1338</v>
      </c>
      <c r="E689" s="94"/>
      <c r="F689" s="3" t="s">
        <v>52</v>
      </c>
      <c r="G689" s="25">
        <v>32</v>
      </c>
      <c r="H689" s="45">
        <v>0</v>
      </c>
    </row>
    <row r="690" spans="1:8" x14ac:dyDescent="0.25">
      <c r="A690" s="2" t="s">
        <v>1336</v>
      </c>
      <c r="B690" s="3" t="s">
        <v>46</v>
      </c>
      <c r="C690" s="3" t="s">
        <v>1340</v>
      </c>
      <c r="D690" s="94" t="s">
        <v>1341</v>
      </c>
      <c r="E690" s="94"/>
      <c r="F690" s="3" t="s">
        <v>52</v>
      </c>
      <c r="G690" s="25">
        <v>2</v>
      </c>
      <c r="H690" s="45">
        <v>0</v>
      </c>
    </row>
    <row r="691" spans="1:8" x14ac:dyDescent="0.25">
      <c r="A691" s="2" t="s">
        <v>1339</v>
      </c>
      <c r="B691" s="3" t="s">
        <v>46</v>
      </c>
      <c r="C691" s="3" t="s">
        <v>1343</v>
      </c>
      <c r="D691" s="94" t="s">
        <v>1344</v>
      </c>
      <c r="E691" s="94"/>
      <c r="F691" s="3" t="s">
        <v>52</v>
      </c>
      <c r="G691" s="25">
        <v>2</v>
      </c>
      <c r="H691" s="45">
        <v>0</v>
      </c>
    </row>
    <row r="692" spans="1:8" x14ac:dyDescent="0.25">
      <c r="A692" s="2" t="s">
        <v>1342</v>
      </c>
      <c r="B692" s="3" t="s">
        <v>46</v>
      </c>
      <c r="C692" s="3" t="s">
        <v>1346</v>
      </c>
      <c r="D692" s="94" t="s">
        <v>1347</v>
      </c>
      <c r="E692" s="94"/>
      <c r="F692" s="3" t="s">
        <v>52</v>
      </c>
      <c r="G692" s="25">
        <v>2</v>
      </c>
      <c r="H692" s="45">
        <v>0</v>
      </c>
    </row>
    <row r="693" spans="1:8" x14ac:dyDescent="0.25">
      <c r="A693" s="2" t="s">
        <v>1345</v>
      </c>
      <c r="B693" s="3" t="s">
        <v>46</v>
      </c>
      <c r="C693" s="3" t="s">
        <v>1349</v>
      </c>
      <c r="D693" s="94" t="s">
        <v>1350</v>
      </c>
      <c r="E693" s="94"/>
      <c r="F693" s="3" t="s">
        <v>52</v>
      </c>
      <c r="G693" s="25">
        <v>8</v>
      </c>
      <c r="H693" s="45">
        <v>0</v>
      </c>
    </row>
    <row r="694" spans="1:8" x14ac:dyDescent="0.25">
      <c r="A694" s="2" t="s">
        <v>1348</v>
      </c>
      <c r="B694" s="3" t="s">
        <v>46</v>
      </c>
      <c r="C694" s="3" t="s">
        <v>1352</v>
      </c>
      <c r="D694" s="94" t="s">
        <v>1353</v>
      </c>
      <c r="E694" s="94"/>
      <c r="F694" s="3" t="s">
        <v>52</v>
      </c>
      <c r="G694" s="25">
        <v>8</v>
      </c>
      <c r="H694" s="45">
        <v>0</v>
      </c>
    </row>
    <row r="695" spans="1:8" x14ac:dyDescent="0.25">
      <c r="A695" s="2" t="s">
        <v>1351</v>
      </c>
      <c r="B695" s="3" t="s">
        <v>46</v>
      </c>
      <c r="C695" s="3" t="s">
        <v>1355</v>
      </c>
      <c r="D695" s="94" t="s">
        <v>1356</v>
      </c>
      <c r="E695" s="94"/>
      <c r="F695" s="3" t="s">
        <v>52</v>
      </c>
      <c r="G695" s="25">
        <v>1</v>
      </c>
      <c r="H695" s="45">
        <v>0</v>
      </c>
    </row>
    <row r="696" spans="1:8" x14ac:dyDescent="0.25">
      <c r="A696" s="2" t="s">
        <v>1354</v>
      </c>
      <c r="B696" s="3" t="s">
        <v>46</v>
      </c>
      <c r="C696" s="3" t="s">
        <v>1358</v>
      </c>
      <c r="D696" s="94" t="s">
        <v>1359</v>
      </c>
      <c r="E696" s="94"/>
      <c r="F696" s="3" t="s">
        <v>52</v>
      </c>
      <c r="G696" s="25">
        <v>2</v>
      </c>
      <c r="H696" s="45">
        <v>0</v>
      </c>
    </row>
    <row r="697" spans="1:8" x14ac:dyDescent="0.25">
      <c r="A697" s="2" t="s">
        <v>1357</v>
      </c>
      <c r="B697" s="3" t="s">
        <v>46</v>
      </c>
      <c r="C697" s="3" t="s">
        <v>1361</v>
      </c>
      <c r="D697" s="94" t="s">
        <v>1362</v>
      </c>
      <c r="E697" s="94"/>
      <c r="F697" s="3" t="s">
        <v>52</v>
      </c>
      <c r="G697" s="25">
        <v>2</v>
      </c>
      <c r="H697" s="45">
        <v>0</v>
      </c>
    </row>
    <row r="698" spans="1:8" x14ac:dyDescent="0.25">
      <c r="A698" s="2" t="s">
        <v>1360</v>
      </c>
      <c r="B698" s="3" t="s">
        <v>46</v>
      </c>
      <c r="C698" s="3" t="s">
        <v>1364</v>
      </c>
      <c r="D698" s="94" t="s">
        <v>1365</v>
      </c>
      <c r="E698" s="94"/>
      <c r="F698" s="3" t="s">
        <v>52</v>
      </c>
      <c r="G698" s="25">
        <v>13</v>
      </c>
      <c r="H698" s="45">
        <v>0</v>
      </c>
    </row>
    <row r="699" spans="1:8" x14ac:dyDescent="0.25">
      <c r="A699" s="2" t="s">
        <v>1363</v>
      </c>
      <c r="B699" s="3" t="s">
        <v>46</v>
      </c>
      <c r="C699" s="3" t="s">
        <v>1367</v>
      </c>
      <c r="D699" s="94" t="s">
        <v>1368</v>
      </c>
      <c r="E699" s="94"/>
      <c r="F699" s="3" t="s">
        <v>52</v>
      </c>
      <c r="G699" s="25">
        <v>1</v>
      </c>
      <c r="H699" s="45">
        <v>0</v>
      </c>
    </row>
    <row r="700" spans="1:8" x14ac:dyDescent="0.25">
      <c r="A700" s="2" t="s">
        <v>1366</v>
      </c>
      <c r="B700" s="3" t="s">
        <v>46</v>
      </c>
      <c r="C700" s="3" t="s">
        <v>1370</v>
      </c>
      <c r="D700" s="94" t="s">
        <v>1371</v>
      </c>
      <c r="E700" s="94"/>
      <c r="F700" s="3" t="s">
        <v>52</v>
      </c>
      <c r="G700" s="25">
        <v>1</v>
      </c>
      <c r="H700" s="45">
        <v>0</v>
      </c>
    </row>
    <row r="701" spans="1:8" x14ac:dyDescent="0.25">
      <c r="A701" s="2" t="s">
        <v>1369</v>
      </c>
      <c r="B701" s="3" t="s">
        <v>46</v>
      </c>
      <c r="C701" s="3" t="s">
        <v>1373</v>
      </c>
      <c r="D701" s="94" t="s">
        <v>1374</v>
      </c>
      <c r="E701" s="94"/>
      <c r="F701" s="3" t="s">
        <v>796</v>
      </c>
      <c r="G701" s="25">
        <v>40</v>
      </c>
      <c r="H701" s="45">
        <v>0</v>
      </c>
    </row>
    <row r="702" spans="1:8" x14ac:dyDescent="0.25">
      <c r="A702" s="2" t="s">
        <v>1372</v>
      </c>
      <c r="B702" s="3" t="s">
        <v>46</v>
      </c>
      <c r="C702" s="3" t="s">
        <v>1376</v>
      </c>
      <c r="D702" s="94" t="s">
        <v>1377</v>
      </c>
      <c r="E702" s="94"/>
      <c r="F702" s="3" t="s">
        <v>796</v>
      </c>
      <c r="G702" s="25">
        <v>80</v>
      </c>
      <c r="H702" s="45">
        <v>0</v>
      </c>
    </row>
    <row r="703" spans="1:8" x14ac:dyDescent="0.25">
      <c r="A703" s="2" t="s">
        <v>1375</v>
      </c>
      <c r="B703" s="3" t="s">
        <v>46</v>
      </c>
      <c r="C703" s="3" t="s">
        <v>1379</v>
      </c>
      <c r="D703" s="94" t="s">
        <v>1380</v>
      </c>
      <c r="E703" s="94"/>
      <c r="F703" s="3" t="s">
        <v>52</v>
      </c>
      <c r="G703" s="25">
        <v>55</v>
      </c>
      <c r="H703" s="45">
        <v>0</v>
      </c>
    </row>
    <row r="704" spans="1:8" x14ac:dyDescent="0.25">
      <c r="A704" s="2" t="s">
        <v>1378</v>
      </c>
      <c r="B704" s="3" t="s">
        <v>46</v>
      </c>
      <c r="C704" s="3" t="s">
        <v>1382</v>
      </c>
      <c r="D704" s="94" t="s">
        <v>1383</v>
      </c>
      <c r="E704" s="94"/>
      <c r="F704" s="3" t="s">
        <v>52</v>
      </c>
      <c r="G704" s="25">
        <v>15</v>
      </c>
      <c r="H704" s="45">
        <v>0</v>
      </c>
    </row>
    <row r="705" spans="1:8" x14ac:dyDescent="0.25">
      <c r="A705" s="2" t="s">
        <v>1381</v>
      </c>
      <c r="B705" s="3" t="s">
        <v>46</v>
      </c>
      <c r="C705" s="3" t="s">
        <v>1385</v>
      </c>
      <c r="D705" s="94" t="s">
        <v>984</v>
      </c>
      <c r="E705" s="94"/>
      <c r="F705" s="3" t="s">
        <v>52</v>
      </c>
      <c r="G705" s="25">
        <v>2</v>
      </c>
      <c r="H705" s="45">
        <v>0</v>
      </c>
    </row>
    <row r="706" spans="1:8" x14ac:dyDescent="0.25">
      <c r="A706" s="2" t="s">
        <v>1384</v>
      </c>
      <c r="B706" s="3" t="s">
        <v>46</v>
      </c>
      <c r="C706" s="3" t="s">
        <v>1387</v>
      </c>
      <c r="D706" s="94" t="s">
        <v>1388</v>
      </c>
      <c r="E706" s="94"/>
      <c r="F706" s="3" t="s">
        <v>131</v>
      </c>
      <c r="G706" s="25">
        <v>126.575</v>
      </c>
      <c r="H706" s="45">
        <v>0</v>
      </c>
    </row>
    <row r="707" spans="1:8" x14ac:dyDescent="0.25">
      <c r="A707" s="2" t="s">
        <v>1386</v>
      </c>
      <c r="B707" s="3" t="s">
        <v>46</v>
      </c>
      <c r="C707" s="3" t="s">
        <v>1390</v>
      </c>
      <c r="D707" s="94" t="s">
        <v>795</v>
      </c>
      <c r="E707" s="94"/>
      <c r="F707" s="3" t="s">
        <v>796</v>
      </c>
      <c r="G707" s="25">
        <v>40</v>
      </c>
      <c r="H707" s="45">
        <v>0</v>
      </c>
    </row>
    <row r="708" spans="1:8" x14ac:dyDescent="0.25">
      <c r="A708" s="2" t="s">
        <v>1389</v>
      </c>
      <c r="B708" s="3" t="s">
        <v>46</v>
      </c>
      <c r="C708" s="3" t="s">
        <v>1392</v>
      </c>
      <c r="D708" s="94" t="s">
        <v>1393</v>
      </c>
      <c r="E708" s="94"/>
      <c r="F708" s="3" t="s">
        <v>52</v>
      </c>
      <c r="G708" s="25">
        <v>11</v>
      </c>
      <c r="H708" s="45">
        <v>0</v>
      </c>
    </row>
    <row r="709" spans="1:8" x14ac:dyDescent="0.25">
      <c r="A709" s="2" t="s">
        <v>1391</v>
      </c>
      <c r="B709" s="3" t="s">
        <v>46</v>
      </c>
      <c r="C709" s="3" t="s">
        <v>1395</v>
      </c>
      <c r="D709" s="94" t="s">
        <v>1396</v>
      </c>
      <c r="E709" s="94"/>
      <c r="F709" s="3" t="s">
        <v>52</v>
      </c>
      <c r="G709" s="25">
        <v>1</v>
      </c>
      <c r="H709" s="45">
        <v>0</v>
      </c>
    </row>
    <row r="710" spans="1:8" x14ac:dyDescent="0.25">
      <c r="A710" s="2" t="s">
        <v>1394</v>
      </c>
      <c r="B710" s="3" t="s">
        <v>46</v>
      </c>
      <c r="C710" s="3" t="s">
        <v>1398</v>
      </c>
      <c r="D710" s="94" t="s">
        <v>1399</v>
      </c>
      <c r="E710" s="94"/>
      <c r="F710" s="3" t="s">
        <v>52</v>
      </c>
      <c r="G710" s="25">
        <v>1</v>
      </c>
      <c r="H710" s="45">
        <v>0</v>
      </c>
    </row>
    <row r="711" spans="1:8" x14ac:dyDescent="0.25">
      <c r="A711" s="2" t="s">
        <v>1397</v>
      </c>
      <c r="B711" s="3" t="s">
        <v>46</v>
      </c>
      <c r="C711" s="3" t="s">
        <v>1401</v>
      </c>
      <c r="D711" s="94" t="s">
        <v>1402</v>
      </c>
      <c r="E711" s="94"/>
      <c r="F711" s="3" t="s">
        <v>52</v>
      </c>
      <c r="G711" s="25">
        <v>1</v>
      </c>
      <c r="H711" s="45">
        <v>0</v>
      </c>
    </row>
    <row r="712" spans="1:8" x14ac:dyDescent="0.25">
      <c r="A712" s="2" t="s">
        <v>1400</v>
      </c>
      <c r="B712" s="3" t="s">
        <v>46</v>
      </c>
      <c r="C712" s="3" t="s">
        <v>1404</v>
      </c>
      <c r="D712" s="94" t="s">
        <v>1405</v>
      </c>
      <c r="E712" s="94"/>
      <c r="F712" s="3" t="s">
        <v>52</v>
      </c>
      <c r="G712" s="25">
        <v>1</v>
      </c>
      <c r="H712" s="45">
        <v>0</v>
      </c>
    </row>
    <row r="713" spans="1:8" x14ac:dyDescent="0.25">
      <c r="A713" s="2" t="s">
        <v>1403</v>
      </c>
      <c r="B713" s="3" t="s">
        <v>46</v>
      </c>
      <c r="C713" s="3" t="s">
        <v>1407</v>
      </c>
      <c r="D713" s="94" t="s">
        <v>1408</v>
      </c>
      <c r="E713" s="94"/>
      <c r="F713" s="3" t="s">
        <v>52</v>
      </c>
      <c r="G713" s="25">
        <v>54</v>
      </c>
      <c r="H713" s="45">
        <v>0</v>
      </c>
    </row>
    <row r="714" spans="1:8" x14ac:dyDescent="0.25">
      <c r="A714" s="2" t="s">
        <v>1406</v>
      </c>
      <c r="B714" s="3" t="s">
        <v>46</v>
      </c>
      <c r="C714" s="3" t="s">
        <v>1410</v>
      </c>
      <c r="D714" s="94" t="s">
        <v>1411</v>
      </c>
      <c r="E714" s="94"/>
      <c r="F714" s="3" t="s">
        <v>52</v>
      </c>
      <c r="G714" s="25">
        <v>1</v>
      </c>
      <c r="H714" s="45">
        <v>0</v>
      </c>
    </row>
    <row r="715" spans="1:8" x14ac:dyDescent="0.25">
      <c r="A715" s="2" t="s">
        <v>1409</v>
      </c>
      <c r="B715" s="3" t="s">
        <v>46</v>
      </c>
      <c r="C715" s="3" t="s">
        <v>1413</v>
      </c>
      <c r="D715" s="94" t="s">
        <v>826</v>
      </c>
      <c r="E715" s="94"/>
      <c r="F715" s="3" t="s">
        <v>796</v>
      </c>
      <c r="G715" s="25">
        <v>10</v>
      </c>
      <c r="H715" s="45">
        <v>0</v>
      </c>
    </row>
    <row r="716" spans="1:8" x14ac:dyDescent="0.25">
      <c r="A716" s="2" t="s">
        <v>1412</v>
      </c>
      <c r="B716" s="3" t="s">
        <v>46</v>
      </c>
      <c r="C716" s="3" t="s">
        <v>1415</v>
      </c>
      <c r="D716" s="94" t="s">
        <v>829</v>
      </c>
      <c r="E716" s="94"/>
      <c r="F716" s="3" t="s">
        <v>52</v>
      </c>
      <c r="G716" s="25">
        <v>1</v>
      </c>
      <c r="H716" s="45">
        <v>0</v>
      </c>
    </row>
    <row r="717" spans="1:8" x14ac:dyDescent="0.25">
      <c r="A717" s="2" t="s">
        <v>1414</v>
      </c>
      <c r="B717" s="3" t="s">
        <v>46</v>
      </c>
      <c r="C717" s="3" t="s">
        <v>1417</v>
      </c>
      <c r="D717" s="94" t="s">
        <v>832</v>
      </c>
      <c r="E717" s="94"/>
      <c r="F717" s="3" t="s">
        <v>52</v>
      </c>
      <c r="G717" s="25">
        <v>1</v>
      </c>
      <c r="H717" s="45">
        <v>0</v>
      </c>
    </row>
    <row r="718" spans="1:8" x14ac:dyDescent="0.25">
      <c r="A718" s="2" t="s">
        <v>1416</v>
      </c>
      <c r="B718" s="3" t="s">
        <v>46</v>
      </c>
      <c r="C718" s="3" t="s">
        <v>1419</v>
      </c>
      <c r="D718" s="94" t="s">
        <v>835</v>
      </c>
      <c r="E718" s="94"/>
      <c r="F718" s="3" t="s">
        <v>52</v>
      </c>
      <c r="G718" s="25">
        <v>1</v>
      </c>
      <c r="H718" s="45">
        <v>0</v>
      </c>
    </row>
    <row r="719" spans="1:8" x14ac:dyDescent="0.25">
      <c r="A719" s="58" t="s">
        <v>46</v>
      </c>
      <c r="B719" s="29" t="s">
        <v>46</v>
      </c>
      <c r="C719" s="29" t="s">
        <v>1420</v>
      </c>
      <c r="D719" s="151" t="s">
        <v>1421</v>
      </c>
      <c r="E719" s="151"/>
      <c r="F719" s="29" t="s">
        <v>46</v>
      </c>
      <c r="G719" s="11" t="s">
        <v>46</v>
      </c>
      <c r="H719" s="31" t="s">
        <v>46</v>
      </c>
    </row>
    <row r="720" spans="1:8" x14ac:dyDescent="0.25">
      <c r="A720" s="2" t="s">
        <v>1418</v>
      </c>
      <c r="B720" s="3" t="s">
        <v>46</v>
      </c>
      <c r="C720" s="3" t="s">
        <v>1423</v>
      </c>
      <c r="D720" s="94" t="s">
        <v>1424</v>
      </c>
      <c r="E720" s="94"/>
      <c r="F720" s="3" t="s">
        <v>93</v>
      </c>
      <c r="G720" s="25">
        <v>542.68499999999995</v>
      </c>
      <c r="H720" s="45">
        <v>0</v>
      </c>
    </row>
    <row r="721" spans="1:8" x14ac:dyDescent="0.25">
      <c r="A721" s="54"/>
      <c r="D721" s="55" t="s">
        <v>2780</v>
      </c>
      <c r="E721" s="171" t="s">
        <v>46</v>
      </c>
      <c r="F721" s="171"/>
      <c r="G721" s="56">
        <v>542.68499999999995</v>
      </c>
      <c r="H721" s="57"/>
    </row>
    <row r="722" spans="1:8" x14ac:dyDescent="0.25">
      <c r="A722" s="2" t="s">
        <v>1422</v>
      </c>
      <c r="B722" s="3" t="s">
        <v>46</v>
      </c>
      <c r="C722" s="3" t="s">
        <v>1428</v>
      </c>
      <c r="D722" s="94" t="s">
        <v>1429</v>
      </c>
      <c r="E722" s="94"/>
      <c r="F722" s="3" t="s">
        <v>93</v>
      </c>
      <c r="G722" s="25">
        <v>542.68499999999995</v>
      </c>
      <c r="H722" s="45">
        <v>0</v>
      </c>
    </row>
    <row r="723" spans="1:8" x14ac:dyDescent="0.25">
      <c r="A723" s="54"/>
      <c r="D723" s="55" t="s">
        <v>2780</v>
      </c>
      <c r="E723" s="171" t="s">
        <v>46</v>
      </c>
      <c r="F723" s="171"/>
      <c r="G723" s="56">
        <v>542.68499999999995</v>
      </c>
      <c r="H723" s="57"/>
    </row>
    <row r="724" spans="1:8" x14ac:dyDescent="0.25">
      <c r="A724" s="2" t="s">
        <v>1427</v>
      </c>
      <c r="B724" s="3" t="s">
        <v>46</v>
      </c>
      <c r="C724" s="3" t="s">
        <v>1431</v>
      </c>
      <c r="D724" s="94" t="s">
        <v>1432</v>
      </c>
      <c r="E724" s="94"/>
      <c r="F724" s="3" t="s">
        <v>71</v>
      </c>
      <c r="G724" s="25">
        <v>0.78700000000000003</v>
      </c>
      <c r="H724" s="45">
        <v>0</v>
      </c>
    </row>
    <row r="725" spans="1:8" x14ac:dyDescent="0.25">
      <c r="A725" s="54"/>
      <c r="D725" s="55" t="s">
        <v>2782</v>
      </c>
      <c r="E725" s="171" t="s">
        <v>46</v>
      </c>
      <c r="F725" s="171"/>
      <c r="G725" s="56">
        <v>0.78700000000000003</v>
      </c>
      <c r="H725" s="57"/>
    </row>
    <row r="726" spans="1:8" x14ac:dyDescent="0.25">
      <c r="A726" s="58" t="s">
        <v>46</v>
      </c>
      <c r="B726" s="29" t="s">
        <v>46</v>
      </c>
      <c r="C726" s="29" t="s">
        <v>1433</v>
      </c>
      <c r="D726" s="151" t="s">
        <v>1434</v>
      </c>
      <c r="E726" s="151"/>
      <c r="F726" s="29" t="s">
        <v>46</v>
      </c>
      <c r="G726" s="11" t="s">
        <v>46</v>
      </c>
      <c r="H726" s="31" t="s">
        <v>46</v>
      </c>
    </row>
    <row r="727" spans="1:8" x14ac:dyDescent="0.25">
      <c r="A727" s="2" t="s">
        <v>1430</v>
      </c>
      <c r="B727" s="3" t="s">
        <v>46</v>
      </c>
      <c r="C727" s="3" t="s">
        <v>1436</v>
      </c>
      <c r="D727" s="94" t="s">
        <v>1437</v>
      </c>
      <c r="E727" s="94"/>
      <c r="F727" s="3" t="s">
        <v>131</v>
      </c>
      <c r="G727" s="25">
        <v>1.5</v>
      </c>
      <c r="H727" s="45">
        <v>0</v>
      </c>
    </row>
    <row r="728" spans="1:8" x14ac:dyDescent="0.25">
      <c r="A728" s="54"/>
      <c r="D728" s="55" t="s">
        <v>2701</v>
      </c>
      <c r="E728" s="171" t="s">
        <v>46</v>
      </c>
      <c r="F728" s="171"/>
      <c r="G728" s="56">
        <v>1.5</v>
      </c>
      <c r="H728" s="57"/>
    </row>
    <row r="729" spans="1:8" x14ac:dyDescent="0.25">
      <c r="A729" s="2" t="s">
        <v>1435</v>
      </c>
      <c r="B729" s="3" t="s">
        <v>46</v>
      </c>
      <c r="C729" s="3" t="s">
        <v>1440</v>
      </c>
      <c r="D729" s="94" t="s">
        <v>1441</v>
      </c>
      <c r="E729" s="94"/>
      <c r="F729" s="3" t="s">
        <v>131</v>
      </c>
      <c r="G729" s="25">
        <v>1.5</v>
      </c>
      <c r="H729" s="45">
        <v>0</v>
      </c>
    </row>
    <row r="730" spans="1:8" x14ac:dyDescent="0.25">
      <c r="A730" s="54"/>
      <c r="D730" s="55" t="s">
        <v>2701</v>
      </c>
      <c r="E730" s="171" t="s">
        <v>46</v>
      </c>
      <c r="F730" s="171"/>
      <c r="G730" s="56">
        <v>1.5</v>
      </c>
      <c r="H730" s="57"/>
    </row>
    <row r="731" spans="1:8" x14ac:dyDescent="0.25">
      <c r="A731" s="2" t="s">
        <v>1439</v>
      </c>
      <c r="B731" s="3" t="s">
        <v>46</v>
      </c>
      <c r="C731" s="3" t="s">
        <v>1443</v>
      </c>
      <c r="D731" s="94" t="s">
        <v>1444</v>
      </c>
      <c r="E731" s="94"/>
      <c r="F731" s="3" t="s">
        <v>131</v>
      </c>
      <c r="G731" s="25">
        <v>1.5</v>
      </c>
      <c r="H731" s="45">
        <v>0</v>
      </c>
    </row>
    <row r="732" spans="1:8" x14ac:dyDescent="0.25">
      <c r="A732" s="54"/>
      <c r="D732" s="55" t="s">
        <v>2701</v>
      </c>
      <c r="E732" s="171" t="s">
        <v>46</v>
      </c>
      <c r="F732" s="171"/>
      <c r="G732" s="56">
        <v>1.5</v>
      </c>
      <c r="H732" s="57"/>
    </row>
    <row r="733" spans="1:8" x14ac:dyDescent="0.25">
      <c r="A733" s="2" t="s">
        <v>1442</v>
      </c>
      <c r="B733" s="3" t="s">
        <v>46</v>
      </c>
      <c r="C733" s="3" t="s">
        <v>1446</v>
      </c>
      <c r="D733" s="94" t="s">
        <v>1447</v>
      </c>
      <c r="E733" s="94"/>
      <c r="F733" s="3" t="s">
        <v>71</v>
      </c>
      <c r="G733" s="25">
        <v>4.0000000000000001E-3</v>
      </c>
      <c r="H733" s="45">
        <v>0</v>
      </c>
    </row>
    <row r="734" spans="1:8" x14ac:dyDescent="0.25">
      <c r="A734" s="54"/>
      <c r="D734" s="55" t="s">
        <v>2783</v>
      </c>
      <c r="E734" s="171" t="s">
        <v>46</v>
      </c>
      <c r="F734" s="171"/>
      <c r="G734" s="56">
        <v>4.0000000000000001E-3</v>
      </c>
      <c r="H734" s="57"/>
    </row>
    <row r="735" spans="1:8" x14ac:dyDescent="0.25">
      <c r="A735" s="58" t="s">
        <v>46</v>
      </c>
      <c r="B735" s="29" t="s">
        <v>46</v>
      </c>
      <c r="C735" s="29" t="s">
        <v>1448</v>
      </c>
      <c r="D735" s="151" t="s">
        <v>1449</v>
      </c>
      <c r="E735" s="151"/>
      <c r="F735" s="29" t="s">
        <v>46</v>
      </c>
      <c r="G735" s="11" t="s">
        <v>46</v>
      </c>
      <c r="H735" s="31" t="s">
        <v>46</v>
      </c>
    </row>
    <row r="736" spans="1:8" x14ac:dyDescent="0.25">
      <c r="A736" s="2" t="s">
        <v>1445</v>
      </c>
      <c r="B736" s="3" t="s">
        <v>46</v>
      </c>
      <c r="C736" s="3" t="s">
        <v>1451</v>
      </c>
      <c r="D736" s="94" t="s">
        <v>1452</v>
      </c>
      <c r="E736" s="94"/>
      <c r="F736" s="3" t="s">
        <v>131</v>
      </c>
      <c r="G736" s="25">
        <v>4.8</v>
      </c>
      <c r="H736" s="45">
        <v>0</v>
      </c>
    </row>
    <row r="737" spans="1:8" x14ac:dyDescent="0.25">
      <c r="A737" s="54"/>
      <c r="D737" s="55" t="s">
        <v>2668</v>
      </c>
      <c r="E737" s="171" t="s">
        <v>46</v>
      </c>
      <c r="F737" s="171"/>
      <c r="G737" s="56">
        <v>4.8</v>
      </c>
      <c r="H737" s="57"/>
    </row>
    <row r="738" spans="1:8" x14ac:dyDescent="0.25">
      <c r="A738" s="2" t="s">
        <v>1450</v>
      </c>
      <c r="B738" s="3" t="s">
        <v>46</v>
      </c>
      <c r="C738" s="3" t="s">
        <v>1455</v>
      </c>
      <c r="D738" s="94" t="s">
        <v>1456</v>
      </c>
      <c r="E738" s="94"/>
      <c r="F738" s="3" t="s">
        <v>131</v>
      </c>
      <c r="G738" s="25">
        <v>1.5</v>
      </c>
      <c r="H738" s="45">
        <v>0</v>
      </c>
    </row>
    <row r="739" spans="1:8" x14ac:dyDescent="0.25">
      <c r="A739" s="54"/>
      <c r="D739" s="55" t="s">
        <v>2701</v>
      </c>
      <c r="E739" s="171" t="s">
        <v>46</v>
      </c>
      <c r="F739" s="171"/>
      <c r="G739" s="56">
        <v>1.5</v>
      </c>
      <c r="H739" s="57"/>
    </row>
    <row r="740" spans="1:8" x14ac:dyDescent="0.25">
      <c r="A740" s="2" t="s">
        <v>1454</v>
      </c>
      <c r="B740" s="3" t="s">
        <v>46</v>
      </c>
      <c r="C740" s="3" t="s">
        <v>1458</v>
      </c>
      <c r="D740" s="94" t="s">
        <v>1459</v>
      </c>
      <c r="E740" s="94"/>
      <c r="F740" s="3" t="s">
        <v>52</v>
      </c>
      <c r="G740" s="25">
        <v>1</v>
      </c>
      <c r="H740" s="45">
        <v>0</v>
      </c>
    </row>
    <row r="741" spans="1:8" x14ac:dyDescent="0.25">
      <c r="A741" s="54"/>
      <c r="D741" s="55" t="s">
        <v>49</v>
      </c>
      <c r="E741" s="171" t="s">
        <v>46</v>
      </c>
      <c r="F741" s="171"/>
      <c r="G741" s="56">
        <v>1</v>
      </c>
      <c r="H741" s="57"/>
    </row>
    <row r="742" spans="1:8" x14ac:dyDescent="0.25">
      <c r="A742" s="2" t="s">
        <v>1457</v>
      </c>
      <c r="B742" s="3" t="s">
        <v>46</v>
      </c>
      <c r="C742" s="3" t="s">
        <v>1461</v>
      </c>
      <c r="D742" s="94" t="s">
        <v>1462</v>
      </c>
      <c r="E742" s="94"/>
      <c r="F742" s="3" t="s">
        <v>52</v>
      </c>
      <c r="G742" s="25">
        <v>1</v>
      </c>
      <c r="H742" s="45">
        <v>0</v>
      </c>
    </row>
    <row r="743" spans="1:8" x14ac:dyDescent="0.25">
      <c r="A743" s="54"/>
      <c r="D743" s="55" t="s">
        <v>49</v>
      </c>
      <c r="E743" s="171" t="s">
        <v>46</v>
      </c>
      <c r="F743" s="171"/>
      <c r="G743" s="56">
        <v>1</v>
      </c>
      <c r="H743" s="57"/>
    </row>
    <row r="744" spans="1:8" x14ac:dyDescent="0.25">
      <c r="A744" s="2" t="s">
        <v>1460</v>
      </c>
      <c r="B744" s="3" t="s">
        <v>46</v>
      </c>
      <c r="C744" s="3" t="s">
        <v>1464</v>
      </c>
      <c r="D744" s="94" t="s">
        <v>1465</v>
      </c>
      <c r="E744" s="94"/>
      <c r="F744" s="3" t="s">
        <v>52</v>
      </c>
      <c r="G744" s="25">
        <v>1</v>
      </c>
      <c r="H744" s="45">
        <v>0</v>
      </c>
    </row>
    <row r="745" spans="1:8" x14ac:dyDescent="0.25">
      <c r="A745" s="54"/>
      <c r="D745" s="55" t="s">
        <v>49</v>
      </c>
      <c r="E745" s="171" t="s">
        <v>46</v>
      </c>
      <c r="F745" s="171"/>
      <c r="G745" s="56">
        <v>1</v>
      </c>
      <c r="H745" s="57"/>
    </row>
    <row r="746" spans="1:8" x14ac:dyDescent="0.25">
      <c r="A746" s="2" t="s">
        <v>1463</v>
      </c>
      <c r="B746" s="3" t="s">
        <v>46</v>
      </c>
      <c r="C746" s="3" t="s">
        <v>1467</v>
      </c>
      <c r="D746" s="94" t="s">
        <v>1468</v>
      </c>
      <c r="E746" s="94"/>
      <c r="F746" s="3" t="s">
        <v>52</v>
      </c>
      <c r="G746" s="25">
        <v>1</v>
      </c>
      <c r="H746" s="45">
        <v>0</v>
      </c>
    </row>
    <row r="747" spans="1:8" x14ac:dyDescent="0.25">
      <c r="A747" s="54"/>
      <c r="D747" s="55" t="s">
        <v>49</v>
      </c>
      <c r="E747" s="171" t="s">
        <v>46</v>
      </c>
      <c r="F747" s="171"/>
      <c r="G747" s="56">
        <v>1</v>
      </c>
      <c r="H747" s="57"/>
    </row>
    <row r="748" spans="1:8" x14ac:dyDescent="0.25">
      <c r="A748" s="2" t="s">
        <v>1466</v>
      </c>
      <c r="B748" s="3" t="s">
        <v>46</v>
      </c>
      <c r="C748" s="3" t="s">
        <v>1470</v>
      </c>
      <c r="D748" s="94" t="s">
        <v>1471</v>
      </c>
      <c r="E748" s="94"/>
      <c r="F748" s="3" t="s">
        <v>52</v>
      </c>
      <c r="G748" s="25">
        <v>1</v>
      </c>
      <c r="H748" s="45">
        <v>0</v>
      </c>
    </row>
    <row r="749" spans="1:8" x14ac:dyDescent="0.25">
      <c r="A749" s="54"/>
      <c r="D749" s="55" t="s">
        <v>49</v>
      </c>
      <c r="E749" s="171" t="s">
        <v>46</v>
      </c>
      <c r="F749" s="171"/>
      <c r="G749" s="56">
        <v>1</v>
      </c>
      <c r="H749" s="57"/>
    </row>
    <row r="750" spans="1:8" x14ac:dyDescent="0.25">
      <c r="A750" s="2" t="s">
        <v>1469</v>
      </c>
      <c r="B750" s="3" t="s">
        <v>46</v>
      </c>
      <c r="C750" s="3" t="s">
        <v>1473</v>
      </c>
      <c r="D750" s="94" t="s">
        <v>1474</v>
      </c>
      <c r="E750" s="94"/>
      <c r="F750" s="3" t="s">
        <v>52</v>
      </c>
      <c r="G750" s="25">
        <v>20</v>
      </c>
      <c r="H750" s="45">
        <v>0</v>
      </c>
    </row>
    <row r="751" spans="1:8" x14ac:dyDescent="0.25">
      <c r="A751" s="54"/>
      <c r="D751" s="55" t="s">
        <v>2784</v>
      </c>
      <c r="E751" s="171" t="s">
        <v>46</v>
      </c>
      <c r="F751" s="171"/>
      <c r="G751" s="56">
        <v>20</v>
      </c>
      <c r="H751" s="57"/>
    </row>
    <row r="752" spans="1:8" x14ac:dyDescent="0.25">
      <c r="A752" s="2" t="s">
        <v>1472</v>
      </c>
      <c r="B752" s="3" t="s">
        <v>46</v>
      </c>
      <c r="C752" s="3" t="s">
        <v>1476</v>
      </c>
      <c r="D752" s="94" t="s">
        <v>1477</v>
      </c>
      <c r="E752" s="94"/>
      <c r="F752" s="3" t="s">
        <v>52</v>
      </c>
      <c r="G752" s="25">
        <v>8</v>
      </c>
      <c r="H752" s="45">
        <v>0</v>
      </c>
    </row>
    <row r="753" spans="1:8" x14ac:dyDescent="0.25">
      <c r="A753" s="54"/>
      <c r="D753" s="55" t="s">
        <v>2785</v>
      </c>
      <c r="E753" s="171" t="s">
        <v>46</v>
      </c>
      <c r="F753" s="171"/>
      <c r="G753" s="56">
        <v>8</v>
      </c>
      <c r="H753" s="57"/>
    </row>
    <row r="754" spans="1:8" x14ac:dyDescent="0.25">
      <c r="A754" s="2" t="s">
        <v>1475</v>
      </c>
      <c r="B754" s="3" t="s">
        <v>46</v>
      </c>
      <c r="C754" s="3" t="s">
        <v>1479</v>
      </c>
      <c r="D754" s="94" t="s">
        <v>1480</v>
      </c>
      <c r="E754" s="94"/>
      <c r="F754" s="3" t="s">
        <v>52</v>
      </c>
      <c r="G754" s="25">
        <v>1</v>
      </c>
      <c r="H754" s="45">
        <v>0</v>
      </c>
    </row>
    <row r="755" spans="1:8" x14ac:dyDescent="0.25">
      <c r="A755" s="54"/>
      <c r="D755" s="55" t="s">
        <v>49</v>
      </c>
      <c r="E755" s="171" t="s">
        <v>46</v>
      </c>
      <c r="F755" s="171"/>
      <c r="G755" s="56">
        <v>1</v>
      </c>
      <c r="H755" s="57"/>
    </row>
    <row r="756" spans="1:8" x14ac:dyDescent="0.25">
      <c r="A756" s="2" t="s">
        <v>1478</v>
      </c>
      <c r="B756" s="3" t="s">
        <v>46</v>
      </c>
      <c r="C756" s="3" t="s">
        <v>1482</v>
      </c>
      <c r="D756" s="94" t="s">
        <v>1483</v>
      </c>
      <c r="E756" s="94"/>
      <c r="F756" s="3" t="s">
        <v>52</v>
      </c>
      <c r="G756" s="25">
        <v>1</v>
      </c>
      <c r="H756" s="45">
        <v>0</v>
      </c>
    </row>
    <row r="757" spans="1:8" x14ac:dyDescent="0.25">
      <c r="A757" s="54"/>
      <c r="D757" s="55" t="s">
        <v>49</v>
      </c>
      <c r="E757" s="171" t="s">
        <v>46</v>
      </c>
      <c r="F757" s="171"/>
      <c r="G757" s="56">
        <v>1</v>
      </c>
      <c r="H757" s="57"/>
    </row>
    <row r="758" spans="1:8" x14ac:dyDescent="0.25">
      <c r="A758" s="2" t="s">
        <v>1481</v>
      </c>
      <c r="B758" s="3" t="s">
        <v>46</v>
      </c>
      <c r="C758" s="3" t="s">
        <v>1485</v>
      </c>
      <c r="D758" s="94" t="s">
        <v>1486</v>
      </c>
      <c r="E758" s="94"/>
      <c r="F758" s="3" t="s">
        <v>52</v>
      </c>
      <c r="G758" s="25">
        <v>1</v>
      </c>
      <c r="H758" s="45">
        <v>0</v>
      </c>
    </row>
    <row r="759" spans="1:8" x14ac:dyDescent="0.25">
      <c r="A759" s="54"/>
      <c r="D759" s="55" t="s">
        <v>49</v>
      </c>
      <c r="E759" s="171" t="s">
        <v>46</v>
      </c>
      <c r="F759" s="171"/>
      <c r="G759" s="56">
        <v>1</v>
      </c>
      <c r="H759" s="57"/>
    </row>
    <row r="760" spans="1:8" x14ac:dyDescent="0.25">
      <c r="A760" s="2" t="s">
        <v>1484</v>
      </c>
      <c r="B760" s="3" t="s">
        <v>46</v>
      </c>
      <c r="C760" s="3" t="s">
        <v>1488</v>
      </c>
      <c r="D760" s="94" t="s">
        <v>1489</v>
      </c>
      <c r="E760" s="94"/>
      <c r="F760" s="3" t="s">
        <v>52</v>
      </c>
      <c r="G760" s="25">
        <v>2</v>
      </c>
      <c r="H760" s="45">
        <v>0</v>
      </c>
    </row>
    <row r="761" spans="1:8" x14ac:dyDescent="0.25">
      <c r="A761" s="54"/>
      <c r="D761" s="55" t="s">
        <v>2738</v>
      </c>
      <c r="E761" s="171" t="s">
        <v>46</v>
      </c>
      <c r="F761" s="171"/>
      <c r="G761" s="56">
        <v>2</v>
      </c>
      <c r="H761" s="57"/>
    </row>
    <row r="762" spans="1:8" x14ac:dyDescent="0.25">
      <c r="A762" s="2" t="s">
        <v>1487</v>
      </c>
      <c r="B762" s="3" t="s">
        <v>46</v>
      </c>
      <c r="C762" s="3" t="s">
        <v>1491</v>
      </c>
      <c r="D762" s="94" t="s">
        <v>1492</v>
      </c>
      <c r="E762" s="94"/>
      <c r="F762" s="3" t="s">
        <v>52</v>
      </c>
      <c r="G762" s="25">
        <v>4</v>
      </c>
      <c r="H762" s="45">
        <v>0</v>
      </c>
    </row>
    <row r="763" spans="1:8" x14ac:dyDescent="0.25">
      <c r="A763" s="54"/>
      <c r="D763" s="55" t="s">
        <v>2786</v>
      </c>
      <c r="E763" s="171" t="s">
        <v>46</v>
      </c>
      <c r="F763" s="171"/>
      <c r="G763" s="56">
        <v>4</v>
      </c>
      <c r="H763" s="57"/>
    </row>
    <row r="764" spans="1:8" x14ac:dyDescent="0.25">
      <c r="A764" s="2" t="s">
        <v>1490</v>
      </c>
      <c r="B764" s="3" t="s">
        <v>46</v>
      </c>
      <c r="C764" s="3" t="s">
        <v>1494</v>
      </c>
      <c r="D764" s="94" t="s">
        <v>1495</v>
      </c>
      <c r="E764" s="94"/>
      <c r="F764" s="3" t="s">
        <v>52</v>
      </c>
      <c r="G764" s="25">
        <v>4</v>
      </c>
      <c r="H764" s="45">
        <v>0</v>
      </c>
    </row>
    <row r="765" spans="1:8" x14ac:dyDescent="0.25">
      <c r="A765" s="54"/>
      <c r="D765" s="55" t="s">
        <v>2787</v>
      </c>
      <c r="E765" s="171" t="s">
        <v>46</v>
      </c>
      <c r="F765" s="171"/>
      <c r="G765" s="56">
        <v>4</v>
      </c>
      <c r="H765" s="57"/>
    </row>
    <row r="766" spans="1:8" x14ac:dyDescent="0.25">
      <c r="A766" s="2" t="s">
        <v>1493</v>
      </c>
      <c r="B766" s="3" t="s">
        <v>46</v>
      </c>
      <c r="C766" s="3" t="s">
        <v>1497</v>
      </c>
      <c r="D766" s="94" t="s">
        <v>1498</v>
      </c>
      <c r="E766" s="94"/>
      <c r="F766" s="3" t="s">
        <v>52</v>
      </c>
      <c r="G766" s="25">
        <v>2</v>
      </c>
      <c r="H766" s="45">
        <v>0</v>
      </c>
    </row>
    <row r="767" spans="1:8" x14ac:dyDescent="0.25">
      <c r="A767" s="54"/>
      <c r="D767" s="55" t="s">
        <v>58</v>
      </c>
      <c r="E767" s="171" t="s">
        <v>46</v>
      </c>
      <c r="F767" s="171"/>
      <c r="G767" s="56">
        <v>2</v>
      </c>
      <c r="H767" s="57"/>
    </row>
    <row r="768" spans="1:8" x14ac:dyDescent="0.25">
      <c r="A768" s="2" t="s">
        <v>1496</v>
      </c>
      <c r="B768" s="3" t="s">
        <v>46</v>
      </c>
      <c r="C768" s="3" t="s">
        <v>1500</v>
      </c>
      <c r="D768" s="94" t="s">
        <v>1501</v>
      </c>
      <c r="E768" s="94"/>
      <c r="F768" s="3" t="s">
        <v>52</v>
      </c>
      <c r="G768" s="25">
        <v>1</v>
      </c>
      <c r="H768" s="45">
        <v>0</v>
      </c>
    </row>
    <row r="769" spans="1:8" x14ac:dyDescent="0.25">
      <c r="A769" s="54"/>
      <c r="D769" s="55" t="s">
        <v>49</v>
      </c>
      <c r="E769" s="171" t="s">
        <v>46</v>
      </c>
      <c r="F769" s="171"/>
      <c r="G769" s="56">
        <v>1</v>
      </c>
      <c r="H769" s="57"/>
    </row>
    <row r="770" spans="1:8" x14ac:dyDescent="0.25">
      <c r="A770" s="2" t="s">
        <v>1499</v>
      </c>
      <c r="B770" s="3" t="s">
        <v>46</v>
      </c>
      <c r="C770" s="3" t="s">
        <v>1503</v>
      </c>
      <c r="D770" s="94" t="s">
        <v>1504</v>
      </c>
      <c r="E770" s="94"/>
      <c r="F770" s="3" t="s">
        <v>52</v>
      </c>
      <c r="G770" s="25">
        <v>4</v>
      </c>
      <c r="H770" s="45">
        <v>0</v>
      </c>
    </row>
    <row r="771" spans="1:8" x14ac:dyDescent="0.25">
      <c r="A771" s="54"/>
      <c r="D771" s="55" t="s">
        <v>65</v>
      </c>
      <c r="E771" s="171" t="s">
        <v>46</v>
      </c>
      <c r="F771" s="171"/>
      <c r="G771" s="56">
        <v>4</v>
      </c>
      <c r="H771" s="57"/>
    </row>
    <row r="772" spans="1:8" x14ac:dyDescent="0.25">
      <c r="A772" s="2" t="s">
        <v>1502</v>
      </c>
      <c r="B772" s="3" t="s">
        <v>46</v>
      </c>
      <c r="C772" s="3" t="s">
        <v>1506</v>
      </c>
      <c r="D772" s="94" t="s">
        <v>1507</v>
      </c>
      <c r="E772" s="94"/>
      <c r="F772" s="3" t="s">
        <v>52</v>
      </c>
      <c r="G772" s="25">
        <v>1</v>
      </c>
      <c r="H772" s="45">
        <v>0</v>
      </c>
    </row>
    <row r="773" spans="1:8" x14ac:dyDescent="0.25">
      <c r="A773" s="54"/>
      <c r="D773" s="55" t="s">
        <v>49</v>
      </c>
      <c r="E773" s="171" t="s">
        <v>46</v>
      </c>
      <c r="F773" s="171"/>
      <c r="G773" s="56">
        <v>1</v>
      </c>
      <c r="H773" s="57"/>
    </row>
    <row r="774" spans="1:8" x14ac:dyDescent="0.25">
      <c r="A774" s="2" t="s">
        <v>1505</v>
      </c>
      <c r="B774" s="3" t="s">
        <v>46</v>
      </c>
      <c r="C774" s="3" t="s">
        <v>1509</v>
      </c>
      <c r="D774" s="94" t="s">
        <v>1510</v>
      </c>
      <c r="E774" s="94"/>
      <c r="F774" s="3" t="s">
        <v>52</v>
      </c>
      <c r="G774" s="25">
        <v>1</v>
      </c>
      <c r="H774" s="45">
        <v>0</v>
      </c>
    </row>
    <row r="775" spans="1:8" x14ac:dyDescent="0.25">
      <c r="A775" s="54"/>
      <c r="D775" s="55" t="s">
        <v>49</v>
      </c>
      <c r="E775" s="171" t="s">
        <v>46</v>
      </c>
      <c r="F775" s="171"/>
      <c r="G775" s="56">
        <v>1</v>
      </c>
      <c r="H775" s="57"/>
    </row>
    <row r="776" spans="1:8" x14ac:dyDescent="0.25">
      <c r="A776" s="2" t="s">
        <v>1508</v>
      </c>
      <c r="B776" s="3" t="s">
        <v>46</v>
      </c>
      <c r="C776" s="3" t="s">
        <v>1512</v>
      </c>
      <c r="D776" s="94" t="s">
        <v>1513</v>
      </c>
      <c r="E776" s="94"/>
      <c r="F776" s="3" t="s">
        <v>52</v>
      </c>
      <c r="G776" s="25">
        <v>5</v>
      </c>
      <c r="H776" s="45">
        <v>0</v>
      </c>
    </row>
    <row r="777" spans="1:8" x14ac:dyDescent="0.25">
      <c r="A777" s="54"/>
      <c r="D777" s="55" t="s">
        <v>2788</v>
      </c>
      <c r="E777" s="171" t="s">
        <v>46</v>
      </c>
      <c r="F777" s="171"/>
      <c r="G777" s="56">
        <v>5</v>
      </c>
      <c r="H777" s="57"/>
    </row>
    <row r="778" spans="1:8" x14ac:dyDescent="0.25">
      <c r="A778" s="2" t="s">
        <v>1511</v>
      </c>
      <c r="B778" s="3" t="s">
        <v>46</v>
      </c>
      <c r="C778" s="3" t="s">
        <v>1515</v>
      </c>
      <c r="D778" s="94" t="s">
        <v>1516</v>
      </c>
      <c r="E778" s="94"/>
      <c r="F778" s="3" t="s">
        <v>52</v>
      </c>
      <c r="G778" s="25">
        <v>2</v>
      </c>
      <c r="H778" s="45">
        <v>0</v>
      </c>
    </row>
    <row r="779" spans="1:8" x14ac:dyDescent="0.25">
      <c r="A779" s="54"/>
      <c r="D779" s="55" t="s">
        <v>58</v>
      </c>
      <c r="E779" s="171" t="s">
        <v>46</v>
      </c>
      <c r="F779" s="171"/>
      <c r="G779" s="56">
        <v>2</v>
      </c>
      <c r="H779" s="57"/>
    </row>
    <row r="780" spans="1:8" x14ac:dyDescent="0.25">
      <c r="A780" s="2" t="s">
        <v>1514</v>
      </c>
      <c r="B780" s="3" t="s">
        <v>46</v>
      </c>
      <c r="C780" s="3" t="s">
        <v>1518</v>
      </c>
      <c r="D780" s="94" t="s">
        <v>1519</v>
      </c>
      <c r="E780" s="94"/>
      <c r="F780" s="3" t="s">
        <v>52</v>
      </c>
      <c r="G780" s="25">
        <v>1</v>
      </c>
      <c r="H780" s="45">
        <v>0</v>
      </c>
    </row>
    <row r="781" spans="1:8" x14ac:dyDescent="0.25">
      <c r="A781" s="54"/>
      <c r="D781" s="55" t="s">
        <v>49</v>
      </c>
      <c r="E781" s="171" t="s">
        <v>46</v>
      </c>
      <c r="F781" s="171"/>
      <c r="G781" s="56">
        <v>1</v>
      </c>
      <c r="H781" s="57"/>
    </row>
    <row r="782" spans="1:8" x14ac:dyDescent="0.25">
      <c r="A782" s="2" t="s">
        <v>1517</v>
      </c>
      <c r="B782" s="3" t="s">
        <v>46</v>
      </c>
      <c r="C782" s="3" t="s">
        <v>1521</v>
      </c>
      <c r="D782" s="94" t="s">
        <v>1522</v>
      </c>
      <c r="E782" s="94"/>
      <c r="F782" s="3" t="s">
        <v>52</v>
      </c>
      <c r="G782" s="25">
        <v>2</v>
      </c>
      <c r="H782" s="45">
        <v>0</v>
      </c>
    </row>
    <row r="783" spans="1:8" x14ac:dyDescent="0.25">
      <c r="A783" s="54"/>
      <c r="D783" s="55" t="s">
        <v>2738</v>
      </c>
      <c r="E783" s="171" t="s">
        <v>46</v>
      </c>
      <c r="F783" s="171"/>
      <c r="G783" s="56">
        <v>2</v>
      </c>
      <c r="H783" s="57"/>
    </row>
    <row r="784" spans="1:8" x14ac:dyDescent="0.25">
      <c r="A784" s="2" t="s">
        <v>1520</v>
      </c>
      <c r="B784" s="3" t="s">
        <v>46</v>
      </c>
      <c r="C784" s="3" t="s">
        <v>1524</v>
      </c>
      <c r="D784" s="94" t="s">
        <v>1525</v>
      </c>
      <c r="E784" s="94"/>
      <c r="F784" s="3" t="s">
        <v>52</v>
      </c>
      <c r="G784" s="25">
        <v>1</v>
      </c>
      <c r="H784" s="45">
        <v>0</v>
      </c>
    </row>
    <row r="785" spans="1:8" x14ac:dyDescent="0.25">
      <c r="A785" s="54"/>
      <c r="D785" s="55" t="s">
        <v>49</v>
      </c>
      <c r="E785" s="171" t="s">
        <v>46</v>
      </c>
      <c r="F785" s="171"/>
      <c r="G785" s="56">
        <v>1</v>
      </c>
      <c r="H785" s="57"/>
    </row>
    <row r="786" spans="1:8" x14ac:dyDescent="0.25">
      <c r="A786" s="2" t="s">
        <v>1523</v>
      </c>
      <c r="B786" s="3" t="s">
        <v>46</v>
      </c>
      <c r="C786" s="3" t="s">
        <v>1527</v>
      </c>
      <c r="D786" s="94" t="s">
        <v>1528</v>
      </c>
      <c r="E786" s="94"/>
      <c r="F786" s="3" t="s">
        <v>52</v>
      </c>
      <c r="G786" s="25">
        <v>1</v>
      </c>
      <c r="H786" s="45">
        <v>0</v>
      </c>
    </row>
    <row r="787" spans="1:8" x14ac:dyDescent="0.25">
      <c r="A787" s="54"/>
      <c r="D787" s="55" t="s">
        <v>49</v>
      </c>
      <c r="E787" s="171" t="s">
        <v>46</v>
      </c>
      <c r="F787" s="171"/>
      <c r="G787" s="56">
        <v>1</v>
      </c>
      <c r="H787" s="57"/>
    </row>
    <row r="788" spans="1:8" x14ac:dyDescent="0.25">
      <c r="A788" s="2" t="s">
        <v>1526</v>
      </c>
      <c r="B788" s="3" t="s">
        <v>46</v>
      </c>
      <c r="C788" s="3" t="s">
        <v>1530</v>
      </c>
      <c r="D788" s="94" t="s">
        <v>1531</v>
      </c>
      <c r="E788" s="94"/>
      <c r="F788" s="3" t="s">
        <v>52</v>
      </c>
      <c r="G788" s="25">
        <v>8</v>
      </c>
      <c r="H788" s="45">
        <v>0</v>
      </c>
    </row>
    <row r="789" spans="1:8" x14ac:dyDescent="0.25">
      <c r="A789" s="54"/>
      <c r="D789" s="55" t="s">
        <v>2789</v>
      </c>
      <c r="E789" s="171" t="s">
        <v>46</v>
      </c>
      <c r="F789" s="171"/>
      <c r="G789" s="56">
        <v>8</v>
      </c>
      <c r="H789" s="57"/>
    </row>
    <row r="790" spans="1:8" x14ac:dyDescent="0.25">
      <c r="A790" s="2" t="s">
        <v>1529</v>
      </c>
      <c r="B790" s="3" t="s">
        <v>46</v>
      </c>
      <c r="C790" s="3" t="s">
        <v>1533</v>
      </c>
      <c r="D790" s="94" t="s">
        <v>1534</v>
      </c>
      <c r="E790" s="94"/>
      <c r="F790" s="3" t="s">
        <v>52</v>
      </c>
      <c r="G790" s="25">
        <v>33</v>
      </c>
      <c r="H790" s="45">
        <v>0</v>
      </c>
    </row>
    <row r="791" spans="1:8" x14ac:dyDescent="0.25">
      <c r="A791" s="54"/>
      <c r="D791" s="55" t="s">
        <v>2790</v>
      </c>
      <c r="E791" s="171" t="s">
        <v>46</v>
      </c>
      <c r="F791" s="171"/>
      <c r="G791" s="56">
        <v>33</v>
      </c>
      <c r="H791" s="57"/>
    </row>
    <row r="792" spans="1:8" x14ac:dyDescent="0.25">
      <c r="A792" s="2" t="s">
        <v>1532</v>
      </c>
      <c r="B792" s="3" t="s">
        <v>46</v>
      </c>
      <c r="C792" s="3" t="s">
        <v>1536</v>
      </c>
      <c r="D792" s="94" t="s">
        <v>1537</v>
      </c>
      <c r="E792" s="94"/>
      <c r="F792" s="3" t="s">
        <v>52</v>
      </c>
      <c r="G792" s="25">
        <v>1</v>
      </c>
      <c r="H792" s="45">
        <v>0</v>
      </c>
    </row>
    <row r="793" spans="1:8" x14ac:dyDescent="0.25">
      <c r="A793" s="54"/>
      <c r="D793" s="55" t="s">
        <v>49</v>
      </c>
      <c r="E793" s="171" t="s">
        <v>46</v>
      </c>
      <c r="F793" s="171"/>
      <c r="G793" s="56">
        <v>1</v>
      </c>
      <c r="H793" s="57"/>
    </row>
    <row r="794" spans="1:8" x14ac:dyDescent="0.25">
      <c r="A794" s="2" t="s">
        <v>1535</v>
      </c>
      <c r="B794" s="3" t="s">
        <v>46</v>
      </c>
      <c r="C794" s="3" t="s">
        <v>1539</v>
      </c>
      <c r="D794" s="94" t="s">
        <v>1540</v>
      </c>
      <c r="E794" s="94"/>
      <c r="F794" s="3" t="s">
        <v>71</v>
      </c>
      <c r="G794" s="25">
        <v>2.7589999999999999</v>
      </c>
      <c r="H794" s="45">
        <v>0</v>
      </c>
    </row>
    <row r="795" spans="1:8" x14ac:dyDescent="0.25">
      <c r="A795" s="54"/>
      <c r="D795" s="55" t="s">
        <v>2791</v>
      </c>
      <c r="E795" s="171" t="s">
        <v>46</v>
      </c>
      <c r="F795" s="171"/>
      <c r="G795" s="56">
        <v>2.7589999999999999</v>
      </c>
      <c r="H795" s="57"/>
    </row>
    <row r="796" spans="1:8" x14ac:dyDescent="0.25">
      <c r="A796" s="58" t="s">
        <v>46</v>
      </c>
      <c r="B796" s="29" t="s">
        <v>46</v>
      </c>
      <c r="C796" s="29" t="s">
        <v>1541</v>
      </c>
      <c r="D796" s="151" t="s">
        <v>1542</v>
      </c>
      <c r="E796" s="151"/>
      <c r="F796" s="29" t="s">
        <v>46</v>
      </c>
      <c r="G796" s="11" t="s">
        <v>46</v>
      </c>
      <c r="H796" s="31" t="s">
        <v>46</v>
      </c>
    </row>
    <row r="797" spans="1:8" x14ac:dyDescent="0.25">
      <c r="A797" s="2" t="s">
        <v>1538</v>
      </c>
      <c r="B797" s="3" t="s">
        <v>46</v>
      </c>
      <c r="C797" s="3" t="s">
        <v>1544</v>
      </c>
      <c r="D797" s="94" t="s">
        <v>1545</v>
      </c>
      <c r="E797" s="94"/>
      <c r="F797" s="3" t="s">
        <v>93</v>
      </c>
      <c r="G797" s="25">
        <v>32</v>
      </c>
      <c r="H797" s="45">
        <v>0</v>
      </c>
    </row>
    <row r="798" spans="1:8" x14ac:dyDescent="0.25">
      <c r="A798" s="54"/>
      <c r="D798" s="55" t="s">
        <v>2792</v>
      </c>
      <c r="E798" s="171" t="s">
        <v>46</v>
      </c>
      <c r="F798" s="171"/>
      <c r="G798" s="56">
        <v>32</v>
      </c>
      <c r="H798" s="57"/>
    </row>
    <row r="799" spans="1:8" x14ac:dyDescent="0.25">
      <c r="A799" s="2" t="s">
        <v>1543</v>
      </c>
      <c r="B799" s="3" t="s">
        <v>46</v>
      </c>
      <c r="C799" s="3" t="s">
        <v>1548</v>
      </c>
      <c r="D799" s="94" t="s">
        <v>1549</v>
      </c>
      <c r="E799" s="94"/>
      <c r="F799" s="3" t="s">
        <v>93</v>
      </c>
      <c r="G799" s="25">
        <v>88.84</v>
      </c>
      <c r="H799" s="45">
        <v>0</v>
      </c>
    </row>
    <row r="800" spans="1:8" x14ac:dyDescent="0.25">
      <c r="A800" s="54"/>
      <c r="D800" s="55" t="s">
        <v>2793</v>
      </c>
      <c r="E800" s="171" t="s">
        <v>46</v>
      </c>
      <c r="F800" s="171"/>
      <c r="G800" s="56">
        <v>73.7</v>
      </c>
      <c r="H800" s="57"/>
    </row>
    <row r="801" spans="1:8" x14ac:dyDescent="0.25">
      <c r="A801" s="2" t="s">
        <v>46</v>
      </c>
      <c r="B801" s="3" t="s">
        <v>46</v>
      </c>
      <c r="C801" s="3" t="s">
        <v>46</v>
      </c>
      <c r="D801" s="55" t="s">
        <v>2794</v>
      </c>
      <c r="E801" s="171" t="s">
        <v>46</v>
      </c>
      <c r="F801" s="171"/>
      <c r="G801" s="56">
        <v>15.14</v>
      </c>
      <c r="H801" s="26" t="s">
        <v>46</v>
      </c>
    </row>
    <row r="802" spans="1:8" x14ac:dyDescent="0.25">
      <c r="A802" s="2" t="s">
        <v>1547</v>
      </c>
      <c r="B802" s="3" t="s">
        <v>46</v>
      </c>
      <c r="C802" s="3" t="s">
        <v>1551</v>
      </c>
      <c r="D802" s="94" t="s">
        <v>1552</v>
      </c>
      <c r="E802" s="94"/>
      <c r="F802" s="3" t="s">
        <v>52</v>
      </c>
      <c r="G802" s="25">
        <v>72</v>
      </c>
      <c r="H802" s="45">
        <v>0</v>
      </c>
    </row>
    <row r="803" spans="1:8" x14ac:dyDescent="0.25">
      <c r="A803" s="54"/>
      <c r="D803" s="55" t="s">
        <v>285</v>
      </c>
      <c r="E803" s="171" t="s">
        <v>46</v>
      </c>
      <c r="F803" s="171"/>
      <c r="G803" s="56">
        <v>72</v>
      </c>
      <c r="H803" s="57"/>
    </row>
    <row r="804" spans="1:8" x14ac:dyDescent="0.25">
      <c r="A804" s="2" t="s">
        <v>1550</v>
      </c>
      <c r="B804" s="3" t="s">
        <v>46</v>
      </c>
      <c r="C804" s="3" t="s">
        <v>1554</v>
      </c>
      <c r="D804" s="94" t="s">
        <v>1555</v>
      </c>
      <c r="E804" s="94"/>
      <c r="F804" s="3" t="s">
        <v>52</v>
      </c>
      <c r="G804" s="25">
        <v>2</v>
      </c>
      <c r="H804" s="45">
        <v>0</v>
      </c>
    </row>
    <row r="805" spans="1:8" x14ac:dyDescent="0.25">
      <c r="A805" s="54"/>
      <c r="D805" s="55" t="s">
        <v>2738</v>
      </c>
      <c r="E805" s="171" t="s">
        <v>46</v>
      </c>
      <c r="F805" s="171"/>
      <c r="G805" s="56">
        <v>2</v>
      </c>
      <c r="H805" s="57"/>
    </row>
    <row r="806" spans="1:8" x14ac:dyDescent="0.25">
      <c r="A806" s="2" t="s">
        <v>1553</v>
      </c>
      <c r="B806" s="3" t="s">
        <v>46</v>
      </c>
      <c r="C806" s="3" t="s">
        <v>1557</v>
      </c>
      <c r="D806" s="94" t="s">
        <v>1558</v>
      </c>
      <c r="E806" s="94"/>
      <c r="F806" s="3" t="s">
        <v>52</v>
      </c>
      <c r="G806" s="25">
        <v>3</v>
      </c>
      <c r="H806" s="45">
        <v>0</v>
      </c>
    </row>
    <row r="807" spans="1:8" x14ac:dyDescent="0.25">
      <c r="A807" s="54"/>
      <c r="D807" s="55" t="s">
        <v>62</v>
      </c>
      <c r="E807" s="171" t="s">
        <v>46</v>
      </c>
      <c r="F807" s="171"/>
      <c r="G807" s="56">
        <v>3</v>
      </c>
      <c r="H807" s="57"/>
    </row>
    <row r="808" spans="1:8" x14ac:dyDescent="0.25">
      <c r="A808" s="2" t="s">
        <v>1556</v>
      </c>
      <c r="B808" s="3" t="s">
        <v>46</v>
      </c>
      <c r="C808" s="3" t="s">
        <v>1560</v>
      </c>
      <c r="D808" s="94" t="s">
        <v>1561</v>
      </c>
      <c r="E808" s="94"/>
      <c r="F808" s="3" t="s">
        <v>52</v>
      </c>
      <c r="G808" s="25">
        <v>1</v>
      </c>
      <c r="H808" s="45">
        <v>0</v>
      </c>
    </row>
    <row r="809" spans="1:8" x14ac:dyDescent="0.25">
      <c r="A809" s="54"/>
      <c r="D809" s="55" t="s">
        <v>49</v>
      </c>
      <c r="E809" s="171" t="s">
        <v>46</v>
      </c>
      <c r="F809" s="171"/>
      <c r="G809" s="56">
        <v>1</v>
      </c>
      <c r="H809" s="57"/>
    </row>
    <row r="810" spans="1:8" x14ac:dyDescent="0.25">
      <c r="A810" s="2" t="s">
        <v>1559</v>
      </c>
      <c r="B810" s="3" t="s">
        <v>46</v>
      </c>
      <c r="C810" s="3" t="s">
        <v>1563</v>
      </c>
      <c r="D810" s="94" t="s">
        <v>1564</v>
      </c>
      <c r="E810" s="94"/>
      <c r="F810" s="3" t="s">
        <v>52</v>
      </c>
      <c r="G810" s="25">
        <v>1</v>
      </c>
      <c r="H810" s="45">
        <v>0</v>
      </c>
    </row>
    <row r="811" spans="1:8" x14ac:dyDescent="0.25">
      <c r="A811" s="54"/>
      <c r="D811" s="55" t="s">
        <v>49</v>
      </c>
      <c r="E811" s="171" t="s">
        <v>46</v>
      </c>
      <c r="F811" s="171"/>
      <c r="G811" s="56">
        <v>1</v>
      </c>
      <c r="H811" s="57"/>
    </row>
    <row r="812" spans="1:8" x14ac:dyDescent="0.25">
      <c r="A812" s="2" t="s">
        <v>1562</v>
      </c>
      <c r="B812" s="3" t="s">
        <v>46</v>
      </c>
      <c r="C812" s="3" t="s">
        <v>1566</v>
      </c>
      <c r="D812" s="94" t="s">
        <v>1567</v>
      </c>
      <c r="E812" s="94"/>
      <c r="F812" s="3" t="s">
        <v>52</v>
      </c>
      <c r="G812" s="25">
        <v>2</v>
      </c>
      <c r="H812" s="45">
        <v>0</v>
      </c>
    </row>
    <row r="813" spans="1:8" x14ac:dyDescent="0.25">
      <c r="A813" s="54"/>
      <c r="D813" s="55" t="s">
        <v>58</v>
      </c>
      <c r="E813" s="171" t="s">
        <v>46</v>
      </c>
      <c r="F813" s="171"/>
      <c r="G813" s="56">
        <v>2</v>
      </c>
      <c r="H813" s="57"/>
    </row>
    <row r="814" spans="1:8" x14ac:dyDescent="0.25">
      <c r="A814" s="2" t="s">
        <v>1565</v>
      </c>
      <c r="B814" s="3" t="s">
        <v>46</v>
      </c>
      <c r="C814" s="3" t="s">
        <v>1569</v>
      </c>
      <c r="D814" s="94" t="s">
        <v>1570</v>
      </c>
      <c r="E814" s="94"/>
      <c r="F814" s="3" t="s">
        <v>52</v>
      </c>
      <c r="G814" s="25">
        <v>1</v>
      </c>
      <c r="H814" s="45">
        <v>0</v>
      </c>
    </row>
    <row r="815" spans="1:8" x14ac:dyDescent="0.25">
      <c r="A815" s="54"/>
      <c r="D815" s="55" t="s">
        <v>49</v>
      </c>
      <c r="E815" s="171" t="s">
        <v>46</v>
      </c>
      <c r="F815" s="171"/>
      <c r="G815" s="56">
        <v>1</v>
      </c>
      <c r="H815" s="57"/>
    </row>
    <row r="816" spans="1:8" x14ac:dyDescent="0.25">
      <c r="A816" s="2" t="s">
        <v>1568</v>
      </c>
      <c r="B816" s="3" t="s">
        <v>46</v>
      </c>
      <c r="C816" s="3" t="s">
        <v>1572</v>
      </c>
      <c r="D816" s="94" t="s">
        <v>1573</v>
      </c>
      <c r="E816" s="94"/>
      <c r="F816" s="3" t="s">
        <v>52</v>
      </c>
      <c r="G816" s="25">
        <v>1</v>
      </c>
      <c r="H816" s="45">
        <v>0</v>
      </c>
    </row>
    <row r="817" spans="1:8" x14ac:dyDescent="0.25">
      <c r="A817" s="54"/>
      <c r="D817" s="55" t="s">
        <v>49</v>
      </c>
      <c r="E817" s="171" t="s">
        <v>46</v>
      </c>
      <c r="F817" s="171"/>
      <c r="G817" s="56">
        <v>1</v>
      </c>
      <c r="H817" s="57"/>
    </row>
    <row r="818" spans="1:8" x14ac:dyDescent="0.25">
      <c r="A818" s="2" t="s">
        <v>1571</v>
      </c>
      <c r="B818" s="3" t="s">
        <v>46</v>
      </c>
      <c r="C818" s="3" t="s">
        <v>1575</v>
      </c>
      <c r="D818" s="94" t="s">
        <v>1576</v>
      </c>
      <c r="E818" s="94"/>
      <c r="F818" s="3" t="s">
        <v>52</v>
      </c>
      <c r="G818" s="25">
        <v>4</v>
      </c>
      <c r="H818" s="45">
        <v>0</v>
      </c>
    </row>
    <row r="819" spans="1:8" x14ac:dyDescent="0.25">
      <c r="A819" s="54"/>
      <c r="D819" s="55" t="s">
        <v>65</v>
      </c>
      <c r="E819" s="171" t="s">
        <v>46</v>
      </c>
      <c r="F819" s="171"/>
      <c r="G819" s="56">
        <v>4</v>
      </c>
      <c r="H819" s="57"/>
    </row>
    <row r="820" spans="1:8" x14ac:dyDescent="0.25">
      <c r="A820" s="2" t="s">
        <v>1574</v>
      </c>
      <c r="B820" s="3" t="s">
        <v>46</v>
      </c>
      <c r="C820" s="3" t="s">
        <v>1578</v>
      </c>
      <c r="D820" s="94" t="s">
        <v>1579</v>
      </c>
      <c r="E820" s="94"/>
      <c r="F820" s="3" t="s">
        <v>52</v>
      </c>
      <c r="G820" s="25">
        <v>6</v>
      </c>
      <c r="H820" s="45">
        <v>0</v>
      </c>
    </row>
    <row r="821" spans="1:8" x14ac:dyDescent="0.25">
      <c r="A821" s="54"/>
      <c r="D821" s="55" t="s">
        <v>72</v>
      </c>
      <c r="E821" s="171" t="s">
        <v>46</v>
      </c>
      <c r="F821" s="171"/>
      <c r="G821" s="56">
        <v>6</v>
      </c>
      <c r="H821" s="57"/>
    </row>
    <row r="822" spans="1:8" x14ac:dyDescent="0.25">
      <c r="A822" s="2" t="s">
        <v>1577</v>
      </c>
      <c r="B822" s="3" t="s">
        <v>46</v>
      </c>
      <c r="C822" s="3" t="s">
        <v>1581</v>
      </c>
      <c r="D822" s="94" t="s">
        <v>1582</v>
      </c>
      <c r="E822" s="94"/>
      <c r="F822" s="3" t="s">
        <v>52</v>
      </c>
      <c r="G822" s="25">
        <v>2</v>
      </c>
      <c r="H822" s="45">
        <v>0</v>
      </c>
    </row>
    <row r="823" spans="1:8" x14ac:dyDescent="0.25">
      <c r="A823" s="54"/>
      <c r="D823" s="55" t="s">
        <v>58</v>
      </c>
      <c r="E823" s="171" t="s">
        <v>46</v>
      </c>
      <c r="F823" s="171"/>
      <c r="G823" s="56">
        <v>2</v>
      </c>
      <c r="H823" s="57"/>
    </row>
    <row r="824" spans="1:8" x14ac:dyDescent="0.25">
      <c r="A824" s="2" t="s">
        <v>1580</v>
      </c>
      <c r="B824" s="3" t="s">
        <v>46</v>
      </c>
      <c r="C824" s="3" t="s">
        <v>1584</v>
      </c>
      <c r="D824" s="94" t="s">
        <v>1585</v>
      </c>
      <c r="E824" s="94"/>
      <c r="F824" s="3" t="s">
        <v>52</v>
      </c>
      <c r="G824" s="25">
        <v>2</v>
      </c>
      <c r="H824" s="45">
        <v>0</v>
      </c>
    </row>
    <row r="825" spans="1:8" x14ac:dyDescent="0.25">
      <c r="A825" s="54"/>
      <c r="D825" s="55" t="s">
        <v>58</v>
      </c>
      <c r="E825" s="171" t="s">
        <v>46</v>
      </c>
      <c r="F825" s="171"/>
      <c r="G825" s="56">
        <v>2</v>
      </c>
      <c r="H825" s="57"/>
    </row>
    <row r="826" spans="1:8" x14ac:dyDescent="0.25">
      <c r="A826" s="2" t="s">
        <v>1583</v>
      </c>
      <c r="B826" s="3" t="s">
        <v>46</v>
      </c>
      <c r="C826" s="3" t="s">
        <v>1587</v>
      </c>
      <c r="D826" s="94" t="s">
        <v>1588</v>
      </c>
      <c r="E826" s="94"/>
      <c r="F826" s="3" t="s">
        <v>52</v>
      </c>
      <c r="G826" s="25">
        <v>2</v>
      </c>
      <c r="H826" s="45">
        <v>0</v>
      </c>
    </row>
    <row r="827" spans="1:8" x14ac:dyDescent="0.25">
      <c r="A827" s="54"/>
      <c r="D827" s="55" t="s">
        <v>58</v>
      </c>
      <c r="E827" s="171" t="s">
        <v>46</v>
      </c>
      <c r="F827" s="171"/>
      <c r="G827" s="56">
        <v>2</v>
      </c>
      <c r="H827" s="57"/>
    </row>
    <row r="828" spans="1:8" x14ac:dyDescent="0.25">
      <c r="A828" s="2" t="s">
        <v>1586</v>
      </c>
      <c r="B828" s="3" t="s">
        <v>46</v>
      </c>
      <c r="C828" s="3" t="s">
        <v>1590</v>
      </c>
      <c r="D828" s="94" t="s">
        <v>1591</v>
      </c>
      <c r="E828" s="94"/>
      <c r="F828" s="3" t="s">
        <v>52</v>
      </c>
      <c r="G828" s="25">
        <v>15</v>
      </c>
      <c r="H828" s="45">
        <v>0</v>
      </c>
    </row>
    <row r="829" spans="1:8" x14ac:dyDescent="0.25">
      <c r="A829" s="54"/>
      <c r="D829" s="55" t="s">
        <v>104</v>
      </c>
      <c r="E829" s="171" t="s">
        <v>46</v>
      </c>
      <c r="F829" s="171"/>
      <c r="G829" s="56">
        <v>15</v>
      </c>
      <c r="H829" s="57"/>
    </row>
    <row r="830" spans="1:8" x14ac:dyDescent="0.25">
      <c r="A830" s="2" t="s">
        <v>1589</v>
      </c>
      <c r="B830" s="3" t="s">
        <v>46</v>
      </c>
      <c r="C830" s="3" t="s">
        <v>1593</v>
      </c>
      <c r="D830" s="94" t="s">
        <v>1594</v>
      </c>
      <c r="E830" s="94"/>
      <c r="F830" s="3" t="s">
        <v>1052</v>
      </c>
      <c r="G830" s="25">
        <v>5710</v>
      </c>
      <c r="H830" s="45">
        <v>0</v>
      </c>
    </row>
    <row r="831" spans="1:8" x14ac:dyDescent="0.25">
      <c r="A831" s="54"/>
      <c r="D831" s="55" t="s">
        <v>2795</v>
      </c>
      <c r="E831" s="171" t="s">
        <v>46</v>
      </c>
      <c r="F831" s="171"/>
      <c r="G831" s="56">
        <v>5710</v>
      </c>
      <c r="H831" s="57"/>
    </row>
    <row r="832" spans="1:8" x14ac:dyDescent="0.25">
      <c r="A832" s="2" t="s">
        <v>1592</v>
      </c>
      <c r="B832" s="3" t="s">
        <v>46</v>
      </c>
      <c r="C832" s="3" t="s">
        <v>1596</v>
      </c>
      <c r="D832" s="94" t="s">
        <v>1597</v>
      </c>
      <c r="E832" s="94"/>
      <c r="F832" s="3" t="s">
        <v>1052</v>
      </c>
      <c r="G832" s="25">
        <v>560</v>
      </c>
      <c r="H832" s="45">
        <v>0</v>
      </c>
    </row>
    <row r="833" spans="1:8" x14ac:dyDescent="0.25">
      <c r="A833" s="54"/>
      <c r="D833" s="55" t="s">
        <v>1804</v>
      </c>
      <c r="E833" s="171" t="s">
        <v>46</v>
      </c>
      <c r="F833" s="171"/>
      <c r="G833" s="56">
        <v>560</v>
      </c>
      <c r="H833" s="57"/>
    </row>
    <row r="834" spans="1:8" x14ac:dyDescent="0.25">
      <c r="A834" s="2" t="s">
        <v>1595</v>
      </c>
      <c r="B834" s="3" t="s">
        <v>46</v>
      </c>
      <c r="C834" s="3" t="s">
        <v>1599</v>
      </c>
      <c r="D834" s="94" t="s">
        <v>1600</v>
      </c>
      <c r="E834" s="94"/>
      <c r="F834" s="3" t="s">
        <v>1052</v>
      </c>
      <c r="G834" s="25">
        <v>80</v>
      </c>
      <c r="H834" s="45">
        <v>0</v>
      </c>
    </row>
    <row r="835" spans="1:8" x14ac:dyDescent="0.25">
      <c r="A835" s="54"/>
      <c r="D835" s="55" t="s">
        <v>315</v>
      </c>
      <c r="E835" s="171" t="s">
        <v>46</v>
      </c>
      <c r="F835" s="171"/>
      <c r="G835" s="56">
        <v>80</v>
      </c>
      <c r="H835" s="57"/>
    </row>
    <row r="836" spans="1:8" x14ac:dyDescent="0.25">
      <c r="A836" s="2" t="s">
        <v>1598</v>
      </c>
      <c r="B836" s="3" t="s">
        <v>46</v>
      </c>
      <c r="C836" s="3" t="s">
        <v>1602</v>
      </c>
      <c r="D836" s="94" t="s">
        <v>1603</v>
      </c>
      <c r="E836" s="94"/>
      <c r="F836" s="3" t="s">
        <v>52</v>
      </c>
      <c r="G836" s="25">
        <v>5</v>
      </c>
      <c r="H836" s="45">
        <v>0</v>
      </c>
    </row>
    <row r="837" spans="1:8" x14ac:dyDescent="0.25">
      <c r="A837" s="54"/>
      <c r="D837" s="55" t="s">
        <v>68</v>
      </c>
      <c r="E837" s="171" t="s">
        <v>46</v>
      </c>
      <c r="F837" s="171"/>
      <c r="G837" s="56">
        <v>5</v>
      </c>
      <c r="H837" s="57"/>
    </row>
    <row r="838" spans="1:8" x14ac:dyDescent="0.25">
      <c r="A838" s="2" t="s">
        <v>1601</v>
      </c>
      <c r="B838" s="3" t="s">
        <v>46</v>
      </c>
      <c r="C838" s="3" t="s">
        <v>1605</v>
      </c>
      <c r="D838" s="94" t="s">
        <v>1606</v>
      </c>
      <c r="E838" s="94"/>
      <c r="F838" s="3" t="s">
        <v>52</v>
      </c>
      <c r="G838" s="25">
        <v>1</v>
      </c>
      <c r="H838" s="45">
        <v>0</v>
      </c>
    </row>
    <row r="839" spans="1:8" x14ac:dyDescent="0.25">
      <c r="A839" s="54"/>
      <c r="D839" s="55" t="s">
        <v>49</v>
      </c>
      <c r="E839" s="171" t="s">
        <v>46</v>
      </c>
      <c r="F839" s="171"/>
      <c r="G839" s="56">
        <v>1</v>
      </c>
      <c r="H839" s="57"/>
    </row>
    <row r="840" spans="1:8" x14ac:dyDescent="0.25">
      <c r="A840" s="2" t="s">
        <v>1604</v>
      </c>
      <c r="B840" s="3" t="s">
        <v>46</v>
      </c>
      <c r="C840" s="3" t="s">
        <v>1608</v>
      </c>
      <c r="D840" s="94" t="s">
        <v>1609</v>
      </c>
      <c r="E840" s="94"/>
      <c r="F840" s="3" t="s">
        <v>1052</v>
      </c>
      <c r="G840" s="25">
        <v>951</v>
      </c>
      <c r="H840" s="45">
        <v>0</v>
      </c>
    </row>
    <row r="841" spans="1:8" x14ac:dyDescent="0.25">
      <c r="A841" s="54"/>
      <c r="D841" s="55" t="s">
        <v>2796</v>
      </c>
      <c r="E841" s="171" t="s">
        <v>46</v>
      </c>
      <c r="F841" s="171"/>
      <c r="G841" s="56">
        <v>951</v>
      </c>
      <c r="H841" s="57"/>
    </row>
    <row r="842" spans="1:8" x14ac:dyDescent="0.25">
      <c r="A842" s="2" t="s">
        <v>1607</v>
      </c>
      <c r="B842" s="3" t="s">
        <v>46</v>
      </c>
      <c r="C842" s="3" t="s">
        <v>1611</v>
      </c>
      <c r="D842" s="94" t="s">
        <v>1612</v>
      </c>
      <c r="E842" s="94"/>
      <c r="F842" s="3" t="s">
        <v>1052</v>
      </c>
      <c r="G842" s="25">
        <v>1093.8</v>
      </c>
      <c r="H842" s="45">
        <v>0</v>
      </c>
    </row>
    <row r="843" spans="1:8" x14ac:dyDescent="0.25">
      <c r="A843" s="54"/>
      <c r="D843" s="55" t="s">
        <v>2797</v>
      </c>
      <c r="E843" s="171" t="s">
        <v>46</v>
      </c>
      <c r="F843" s="171"/>
      <c r="G843" s="56">
        <v>1093.8</v>
      </c>
      <c r="H843" s="57"/>
    </row>
    <row r="844" spans="1:8" x14ac:dyDescent="0.25">
      <c r="A844" s="2" t="s">
        <v>1610</v>
      </c>
      <c r="B844" s="3" t="s">
        <v>46</v>
      </c>
      <c r="C844" s="3" t="s">
        <v>1614</v>
      </c>
      <c r="D844" s="94" t="s">
        <v>1615</v>
      </c>
      <c r="E844" s="94"/>
      <c r="F844" s="3" t="s">
        <v>52</v>
      </c>
      <c r="G844" s="25">
        <v>5</v>
      </c>
      <c r="H844" s="45">
        <v>0</v>
      </c>
    </row>
    <row r="845" spans="1:8" x14ac:dyDescent="0.25">
      <c r="A845" s="54"/>
      <c r="D845" s="55" t="s">
        <v>68</v>
      </c>
      <c r="E845" s="171" t="s">
        <v>46</v>
      </c>
      <c r="F845" s="171"/>
      <c r="G845" s="56">
        <v>5</v>
      </c>
      <c r="H845" s="57"/>
    </row>
    <row r="846" spans="1:8" x14ac:dyDescent="0.25">
      <c r="A846" s="2" t="s">
        <v>1613</v>
      </c>
      <c r="B846" s="3" t="s">
        <v>46</v>
      </c>
      <c r="C846" s="3" t="s">
        <v>1617</v>
      </c>
      <c r="D846" s="94" t="s">
        <v>1618</v>
      </c>
      <c r="E846" s="94"/>
      <c r="F846" s="3" t="s">
        <v>52</v>
      </c>
      <c r="G846" s="25">
        <v>5</v>
      </c>
      <c r="H846" s="45">
        <v>0</v>
      </c>
    </row>
    <row r="847" spans="1:8" x14ac:dyDescent="0.25">
      <c r="A847" s="54"/>
      <c r="D847" s="55" t="s">
        <v>68</v>
      </c>
      <c r="E847" s="171" t="s">
        <v>46</v>
      </c>
      <c r="F847" s="171"/>
      <c r="G847" s="56">
        <v>5</v>
      </c>
      <c r="H847" s="57"/>
    </row>
    <row r="848" spans="1:8" x14ac:dyDescent="0.25">
      <c r="A848" s="2" t="s">
        <v>1616</v>
      </c>
      <c r="B848" s="3" t="s">
        <v>46</v>
      </c>
      <c r="C848" s="3" t="s">
        <v>1620</v>
      </c>
      <c r="D848" s="94" t="s">
        <v>1621</v>
      </c>
      <c r="E848" s="94"/>
      <c r="F848" s="3" t="s">
        <v>52</v>
      </c>
      <c r="G848" s="25">
        <v>17</v>
      </c>
      <c r="H848" s="45">
        <v>0</v>
      </c>
    </row>
    <row r="849" spans="1:8" x14ac:dyDescent="0.25">
      <c r="A849" s="54"/>
      <c r="D849" s="55" t="s">
        <v>110</v>
      </c>
      <c r="E849" s="171" t="s">
        <v>46</v>
      </c>
      <c r="F849" s="171"/>
      <c r="G849" s="56">
        <v>17</v>
      </c>
      <c r="H849" s="57"/>
    </row>
    <row r="850" spans="1:8" x14ac:dyDescent="0.25">
      <c r="A850" s="2" t="s">
        <v>1619</v>
      </c>
      <c r="B850" s="3" t="s">
        <v>46</v>
      </c>
      <c r="C850" s="3" t="s">
        <v>1623</v>
      </c>
      <c r="D850" s="94" t="s">
        <v>1624</v>
      </c>
      <c r="E850" s="94"/>
      <c r="F850" s="3" t="s">
        <v>52</v>
      </c>
      <c r="G850" s="25">
        <v>17</v>
      </c>
      <c r="H850" s="45">
        <v>0</v>
      </c>
    </row>
    <row r="851" spans="1:8" x14ac:dyDescent="0.25">
      <c r="A851" s="54"/>
      <c r="D851" s="55" t="s">
        <v>110</v>
      </c>
      <c r="E851" s="171" t="s">
        <v>46</v>
      </c>
      <c r="F851" s="171"/>
      <c r="G851" s="56">
        <v>17</v>
      </c>
      <c r="H851" s="57"/>
    </row>
    <row r="852" spans="1:8" x14ac:dyDescent="0.25">
      <c r="A852" s="2" t="s">
        <v>1622</v>
      </c>
      <c r="B852" s="3" t="s">
        <v>46</v>
      </c>
      <c r="C852" s="3" t="s">
        <v>1626</v>
      </c>
      <c r="D852" s="94" t="s">
        <v>1627</v>
      </c>
      <c r="E852" s="94"/>
      <c r="F852" s="3" t="s">
        <v>52</v>
      </c>
      <c r="G852" s="25">
        <v>1</v>
      </c>
      <c r="H852" s="45">
        <v>0</v>
      </c>
    </row>
    <row r="853" spans="1:8" x14ac:dyDescent="0.25">
      <c r="A853" s="54"/>
      <c r="D853" s="55" t="s">
        <v>49</v>
      </c>
      <c r="E853" s="171" t="s">
        <v>46</v>
      </c>
      <c r="F853" s="171"/>
      <c r="G853" s="56">
        <v>1</v>
      </c>
      <c r="H853" s="57"/>
    </row>
    <row r="854" spans="1:8" x14ac:dyDescent="0.25">
      <c r="A854" s="2" t="s">
        <v>1625</v>
      </c>
      <c r="B854" s="3" t="s">
        <v>46</v>
      </c>
      <c r="C854" s="3" t="s">
        <v>1629</v>
      </c>
      <c r="D854" s="94" t="s">
        <v>1630</v>
      </c>
      <c r="E854" s="94"/>
      <c r="F854" s="3" t="s">
        <v>52</v>
      </c>
      <c r="G854" s="25">
        <v>1</v>
      </c>
      <c r="H854" s="45">
        <v>0</v>
      </c>
    </row>
    <row r="855" spans="1:8" x14ac:dyDescent="0.25">
      <c r="A855" s="54"/>
      <c r="D855" s="55" t="s">
        <v>49</v>
      </c>
      <c r="E855" s="171" t="s">
        <v>46</v>
      </c>
      <c r="F855" s="171"/>
      <c r="G855" s="56">
        <v>1</v>
      </c>
      <c r="H855" s="57"/>
    </row>
    <row r="856" spans="1:8" x14ac:dyDescent="0.25">
      <c r="A856" s="2" t="s">
        <v>1628</v>
      </c>
      <c r="B856" s="3" t="s">
        <v>46</v>
      </c>
      <c r="C856" s="3" t="s">
        <v>1632</v>
      </c>
      <c r="D856" s="94" t="s">
        <v>1633</v>
      </c>
      <c r="E856" s="94"/>
      <c r="F856" s="3" t="s">
        <v>131</v>
      </c>
      <c r="G856" s="25">
        <v>220</v>
      </c>
      <c r="H856" s="45">
        <v>0</v>
      </c>
    </row>
    <row r="857" spans="1:8" x14ac:dyDescent="0.25">
      <c r="A857" s="54"/>
      <c r="D857" s="55" t="s">
        <v>760</v>
      </c>
      <c r="E857" s="171" t="s">
        <v>46</v>
      </c>
      <c r="F857" s="171"/>
      <c r="G857" s="56">
        <v>220</v>
      </c>
      <c r="H857" s="57"/>
    </row>
    <row r="858" spans="1:8" x14ac:dyDescent="0.25">
      <c r="A858" s="2" t="s">
        <v>1631</v>
      </c>
      <c r="B858" s="3" t="s">
        <v>46</v>
      </c>
      <c r="C858" s="3" t="s">
        <v>1635</v>
      </c>
      <c r="D858" s="94" t="s">
        <v>1636</v>
      </c>
      <c r="E858" s="94"/>
      <c r="F858" s="3" t="s">
        <v>131</v>
      </c>
      <c r="G858" s="25">
        <v>45</v>
      </c>
      <c r="H858" s="45">
        <v>0</v>
      </c>
    </row>
    <row r="859" spans="1:8" x14ac:dyDescent="0.25">
      <c r="A859" s="54"/>
      <c r="D859" s="55" t="s">
        <v>194</v>
      </c>
      <c r="E859" s="171" t="s">
        <v>46</v>
      </c>
      <c r="F859" s="171"/>
      <c r="G859" s="56">
        <v>45</v>
      </c>
      <c r="H859" s="57"/>
    </row>
    <row r="860" spans="1:8" x14ac:dyDescent="0.25">
      <c r="A860" s="2" t="s">
        <v>1634</v>
      </c>
      <c r="B860" s="3" t="s">
        <v>46</v>
      </c>
      <c r="C860" s="3" t="s">
        <v>1638</v>
      </c>
      <c r="D860" s="94" t="s">
        <v>1639</v>
      </c>
      <c r="E860" s="94"/>
      <c r="F860" s="3" t="s">
        <v>131</v>
      </c>
      <c r="G860" s="25">
        <v>85</v>
      </c>
      <c r="H860" s="45">
        <v>0</v>
      </c>
    </row>
    <row r="861" spans="1:8" x14ac:dyDescent="0.25">
      <c r="A861" s="54"/>
      <c r="D861" s="55" t="s">
        <v>336</v>
      </c>
      <c r="E861" s="171" t="s">
        <v>46</v>
      </c>
      <c r="F861" s="171"/>
      <c r="G861" s="56">
        <v>85</v>
      </c>
      <c r="H861" s="57"/>
    </row>
    <row r="862" spans="1:8" x14ac:dyDescent="0.25">
      <c r="A862" s="2" t="s">
        <v>1637</v>
      </c>
      <c r="B862" s="3" t="s">
        <v>46</v>
      </c>
      <c r="C862" s="3" t="s">
        <v>1641</v>
      </c>
      <c r="D862" s="94" t="s">
        <v>1642</v>
      </c>
      <c r="E862" s="94"/>
      <c r="F862" s="3" t="s">
        <v>131</v>
      </c>
      <c r="G862" s="25">
        <v>35</v>
      </c>
      <c r="H862" s="45">
        <v>0</v>
      </c>
    </row>
    <row r="863" spans="1:8" x14ac:dyDescent="0.25">
      <c r="A863" s="54"/>
      <c r="D863" s="55" t="s">
        <v>163</v>
      </c>
      <c r="E863" s="171" t="s">
        <v>46</v>
      </c>
      <c r="F863" s="171"/>
      <c r="G863" s="56">
        <v>35</v>
      </c>
      <c r="H863" s="57"/>
    </row>
    <row r="864" spans="1:8" x14ac:dyDescent="0.25">
      <c r="A864" s="2" t="s">
        <v>1640</v>
      </c>
      <c r="B864" s="3" t="s">
        <v>46</v>
      </c>
      <c r="C864" s="3" t="s">
        <v>1644</v>
      </c>
      <c r="D864" s="94" t="s">
        <v>1645</v>
      </c>
      <c r="E864" s="94"/>
      <c r="F864" s="3" t="s">
        <v>71</v>
      </c>
      <c r="G864" s="25">
        <v>10.853</v>
      </c>
      <c r="H864" s="45">
        <v>0</v>
      </c>
    </row>
    <row r="865" spans="1:8" x14ac:dyDescent="0.25">
      <c r="A865" s="54"/>
      <c r="D865" s="55" t="s">
        <v>2798</v>
      </c>
      <c r="E865" s="171" t="s">
        <v>46</v>
      </c>
      <c r="F865" s="171"/>
      <c r="G865" s="56">
        <v>10.853</v>
      </c>
      <c r="H865" s="57"/>
    </row>
    <row r="866" spans="1:8" x14ac:dyDescent="0.25">
      <c r="A866" s="58" t="s">
        <v>46</v>
      </c>
      <c r="B866" s="29" t="s">
        <v>46</v>
      </c>
      <c r="C866" s="29" t="s">
        <v>1646</v>
      </c>
      <c r="D866" s="151" t="s">
        <v>1647</v>
      </c>
      <c r="E866" s="151"/>
      <c r="F866" s="29" t="s">
        <v>46</v>
      </c>
      <c r="G866" s="11" t="s">
        <v>46</v>
      </c>
      <c r="H866" s="31" t="s">
        <v>46</v>
      </c>
    </row>
    <row r="867" spans="1:8" x14ac:dyDescent="0.25">
      <c r="A867" s="2" t="s">
        <v>1643</v>
      </c>
      <c r="B867" s="3" t="s">
        <v>46</v>
      </c>
      <c r="C867" s="3" t="s">
        <v>1649</v>
      </c>
      <c r="D867" s="94" t="s">
        <v>1650</v>
      </c>
      <c r="E867" s="94"/>
      <c r="F867" s="3" t="s">
        <v>93</v>
      </c>
      <c r="G867" s="25">
        <v>48.55</v>
      </c>
      <c r="H867" s="45">
        <v>0</v>
      </c>
    </row>
    <row r="868" spans="1:8" x14ac:dyDescent="0.25">
      <c r="A868" s="54"/>
      <c r="D868" s="55" t="s">
        <v>2799</v>
      </c>
      <c r="E868" s="171" t="s">
        <v>46</v>
      </c>
      <c r="F868" s="171"/>
      <c r="G868" s="56">
        <v>39.229999999999997</v>
      </c>
      <c r="H868" s="57"/>
    </row>
    <row r="869" spans="1:8" x14ac:dyDescent="0.25">
      <c r="A869" s="2" t="s">
        <v>46</v>
      </c>
      <c r="B869" s="3" t="s">
        <v>46</v>
      </c>
      <c r="C869" s="3" t="s">
        <v>46</v>
      </c>
      <c r="D869" s="55" t="s">
        <v>2800</v>
      </c>
      <c r="E869" s="171" t="s">
        <v>46</v>
      </c>
      <c r="F869" s="171"/>
      <c r="G869" s="56">
        <v>9.32</v>
      </c>
      <c r="H869" s="26" t="s">
        <v>46</v>
      </c>
    </row>
    <row r="870" spans="1:8" x14ac:dyDescent="0.25">
      <c r="A870" s="2" t="s">
        <v>1648</v>
      </c>
      <c r="B870" s="3" t="s">
        <v>46</v>
      </c>
      <c r="C870" s="3" t="s">
        <v>1654</v>
      </c>
      <c r="D870" s="94" t="s">
        <v>1655</v>
      </c>
      <c r="E870" s="94"/>
      <c r="F870" s="3" t="s">
        <v>93</v>
      </c>
      <c r="G870" s="25">
        <v>48.55</v>
      </c>
      <c r="H870" s="45">
        <v>0</v>
      </c>
    </row>
    <row r="871" spans="1:8" x14ac:dyDescent="0.25">
      <c r="A871" s="54"/>
      <c r="D871" s="55" t="s">
        <v>2799</v>
      </c>
      <c r="E871" s="171" t="s">
        <v>46</v>
      </c>
      <c r="F871" s="171"/>
      <c r="G871" s="56">
        <v>39.229999999999997</v>
      </c>
      <c r="H871" s="57"/>
    </row>
    <row r="872" spans="1:8" x14ac:dyDescent="0.25">
      <c r="A872" s="2" t="s">
        <v>46</v>
      </c>
      <c r="B872" s="3" t="s">
        <v>46</v>
      </c>
      <c r="C872" s="3" t="s">
        <v>46</v>
      </c>
      <c r="D872" s="55" t="s">
        <v>2800</v>
      </c>
      <c r="E872" s="171" t="s">
        <v>46</v>
      </c>
      <c r="F872" s="171"/>
      <c r="G872" s="56">
        <v>9.32</v>
      </c>
      <c r="H872" s="26" t="s">
        <v>46</v>
      </c>
    </row>
    <row r="873" spans="1:8" x14ac:dyDescent="0.25">
      <c r="A873" s="2" t="s">
        <v>1653</v>
      </c>
      <c r="B873" s="3" t="s">
        <v>46</v>
      </c>
      <c r="C873" s="3" t="s">
        <v>1657</v>
      </c>
      <c r="D873" s="94" t="s">
        <v>1658</v>
      </c>
      <c r="E873" s="94"/>
      <c r="F873" s="3" t="s">
        <v>93</v>
      </c>
      <c r="G873" s="25">
        <v>48.55</v>
      </c>
      <c r="H873" s="45">
        <v>0</v>
      </c>
    </row>
    <row r="874" spans="1:8" x14ac:dyDescent="0.25">
      <c r="A874" s="54"/>
      <c r="D874" s="55" t="s">
        <v>2799</v>
      </c>
      <c r="E874" s="171" t="s">
        <v>46</v>
      </c>
      <c r="F874" s="171"/>
      <c r="G874" s="56">
        <v>39.229999999999997</v>
      </c>
      <c r="H874" s="57"/>
    </row>
    <row r="875" spans="1:8" x14ac:dyDescent="0.25">
      <c r="A875" s="2" t="s">
        <v>46</v>
      </c>
      <c r="B875" s="3" t="s">
        <v>46</v>
      </c>
      <c r="C875" s="3" t="s">
        <v>46</v>
      </c>
      <c r="D875" s="55" t="s">
        <v>2800</v>
      </c>
      <c r="E875" s="171" t="s">
        <v>46</v>
      </c>
      <c r="F875" s="171"/>
      <c r="G875" s="56">
        <v>9.32</v>
      </c>
      <c r="H875" s="26" t="s">
        <v>46</v>
      </c>
    </row>
    <row r="876" spans="1:8" x14ac:dyDescent="0.25">
      <c r="A876" s="2" t="s">
        <v>1656</v>
      </c>
      <c r="B876" s="3" t="s">
        <v>46</v>
      </c>
      <c r="C876" s="3" t="s">
        <v>1660</v>
      </c>
      <c r="D876" s="94" t="s">
        <v>1661</v>
      </c>
      <c r="E876" s="94"/>
      <c r="F876" s="3" t="s">
        <v>93</v>
      </c>
      <c r="G876" s="25">
        <v>48.320999999999998</v>
      </c>
      <c r="H876" s="45">
        <v>0</v>
      </c>
    </row>
    <row r="877" spans="1:8" x14ac:dyDescent="0.25">
      <c r="A877" s="54"/>
      <c r="D877" s="55" t="s">
        <v>2801</v>
      </c>
      <c r="E877" s="171" t="s">
        <v>46</v>
      </c>
      <c r="F877" s="171"/>
      <c r="G877" s="56">
        <v>46.02</v>
      </c>
      <c r="H877" s="57"/>
    </row>
    <row r="878" spans="1:8" x14ac:dyDescent="0.25">
      <c r="A878" s="2" t="s">
        <v>46</v>
      </c>
      <c r="B878" s="3" t="s">
        <v>46</v>
      </c>
      <c r="C878" s="3" t="s">
        <v>46</v>
      </c>
      <c r="D878" s="55" t="s">
        <v>2802</v>
      </c>
      <c r="E878" s="171" t="s">
        <v>46</v>
      </c>
      <c r="F878" s="171"/>
      <c r="G878" s="56">
        <v>2.3010000000000002</v>
      </c>
      <c r="H878" s="26" t="s">
        <v>46</v>
      </c>
    </row>
    <row r="879" spans="1:8" x14ac:dyDescent="0.25">
      <c r="A879" s="2" t="s">
        <v>1659</v>
      </c>
      <c r="B879" s="3" t="s">
        <v>46</v>
      </c>
      <c r="C879" s="3" t="s">
        <v>1663</v>
      </c>
      <c r="D879" s="94" t="s">
        <v>1664</v>
      </c>
      <c r="E879" s="94"/>
      <c r="F879" s="3" t="s">
        <v>93</v>
      </c>
      <c r="G879" s="25">
        <v>2.657</v>
      </c>
      <c r="H879" s="45">
        <v>0</v>
      </c>
    </row>
    <row r="880" spans="1:8" x14ac:dyDescent="0.25">
      <c r="A880" s="54"/>
      <c r="D880" s="55" t="s">
        <v>2803</v>
      </c>
      <c r="E880" s="171" t="s">
        <v>46</v>
      </c>
      <c r="F880" s="171"/>
      <c r="G880" s="56">
        <v>2.5299999999999998</v>
      </c>
      <c r="H880" s="57"/>
    </row>
    <row r="881" spans="1:8" x14ac:dyDescent="0.25">
      <c r="A881" s="2" t="s">
        <v>46</v>
      </c>
      <c r="B881" s="3" t="s">
        <v>46</v>
      </c>
      <c r="C881" s="3" t="s">
        <v>46</v>
      </c>
      <c r="D881" s="55" t="s">
        <v>2804</v>
      </c>
      <c r="E881" s="171" t="s">
        <v>46</v>
      </c>
      <c r="F881" s="171"/>
      <c r="G881" s="56">
        <v>0.127</v>
      </c>
      <c r="H881" s="26" t="s">
        <v>46</v>
      </c>
    </row>
    <row r="882" spans="1:8" x14ac:dyDescent="0.25">
      <c r="A882" s="2" t="s">
        <v>1662</v>
      </c>
      <c r="B882" s="3" t="s">
        <v>46</v>
      </c>
      <c r="C882" s="3" t="s">
        <v>1666</v>
      </c>
      <c r="D882" s="94" t="s">
        <v>1667</v>
      </c>
      <c r="E882" s="94"/>
      <c r="F882" s="3" t="s">
        <v>131</v>
      </c>
      <c r="G882" s="25">
        <v>9.85</v>
      </c>
      <c r="H882" s="45">
        <v>0</v>
      </c>
    </row>
    <row r="883" spans="1:8" x14ac:dyDescent="0.25">
      <c r="A883" s="54"/>
      <c r="D883" s="55" t="s">
        <v>2805</v>
      </c>
      <c r="E883" s="171" t="s">
        <v>46</v>
      </c>
      <c r="F883" s="171"/>
      <c r="G883" s="56">
        <v>7.55</v>
      </c>
      <c r="H883" s="57"/>
    </row>
    <row r="884" spans="1:8" x14ac:dyDescent="0.25">
      <c r="A884" s="2" t="s">
        <v>46</v>
      </c>
      <c r="B884" s="3" t="s">
        <v>46</v>
      </c>
      <c r="C884" s="3" t="s">
        <v>46</v>
      </c>
      <c r="D884" s="55" t="s">
        <v>2806</v>
      </c>
      <c r="E884" s="171" t="s">
        <v>46</v>
      </c>
      <c r="F884" s="171"/>
      <c r="G884" s="56">
        <v>2.2999999999999998</v>
      </c>
      <c r="H884" s="26" t="s">
        <v>46</v>
      </c>
    </row>
    <row r="885" spans="1:8" x14ac:dyDescent="0.25">
      <c r="A885" s="2" t="s">
        <v>1665</v>
      </c>
      <c r="B885" s="3" t="s">
        <v>46</v>
      </c>
      <c r="C885" s="3" t="s">
        <v>1669</v>
      </c>
      <c r="D885" s="94" t="s">
        <v>1670</v>
      </c>
      <c r="E885" s="94"/>
      <c r="F885" s="3" t="s">
        <v>131</v>
      </c>
      <c r="G885" s="25">
        <v>62.15</v>
      </c>
      <c r="H885" s="45">
        <v>0</v>
      </c>
    </row>
    <row r="886" spans="1:8" x14ac:dyDescent="0.25">
      <c r="A886" s="54"/>
      <c r="D886" s="55" t="s">
        <v>2807</v>
      </c>
      <c r="E886" s="171" t="s">
        <v>46</v>
      </c>
      <c r="F886" s="171"/>
      <c r="G886" s="56">
        <v>62.15</v>
      </c>
      <c r="H886" s="57"/>
    </row>
    <row r="887" spans="1:8" x14ac:dyDescent="0.25">
      <c r="A887" s="2" t="s">
        <v>1668</v>
      </c>
      <c r="B887" s="3" t="s">
        <v>46</v>
      </c>
      <c r="C887" s="3" t="s">
        <v>1672</v>
      </c>
      <c r="D887" s="94" t="s">
        <v>1673</v>
      </c>
      <c r="E887" s="94"/>
      <c r="F887" s="3" t="s">
        <v>93</v>
      </c>
      <c r="G887" s="25">
        <v>16.14</v>
      </c>
      <c r="H887" s="45">
        <v>0</v>
      </c>
    </row>
    <row r="888" spans="1:8" x14ac:dyDescent="0.25">
      <c r="A888" s="54"/>
      <c r="D888" s="55" t="s">
        <v>2808</v>
      </c>
      <c r="E888" s="171" t="s">
        <v>46</v>
      </c>
      <c r="F888" s="171"/>
      <c r="G888" s="56">
        <v>16.14</v>
      </c>
      <c r="H888" s="57"/>
    </row>
    <row r="889" spans="1:8" x14ac:dyDescent="0.25">
      <c r="A889" s="2" t="s">
        <v>1671</v>
      </c>
      <c r="B889" s="3" t="s">
        <v>46</v>
      </c>
      <c r="C889" s="3" t="s">
        <v>1675</v>
      </c>
      <c r="D889" s="94" t="s">
        <v>1676</v>
      </c>
      <c r="E889" s="94"/>
      <c r="F889" s="3" t="s">
        <v>93</v>
      </c>
      <c r="G889" s="25">
        <v>48.55</v>
      </c>
      <c r="H889" s="45">
        <v>0</v>
      </c>
    </row>
    <row r="890" spans="1:8" x14ac:dyDescent="0.25">
      <c r="A890" s="54"/>
      <c r="D890" s="55" t="s">
        <v>2799</v>
      </c>
      <c r="E890" s="171" t="s">
        <v>46</v>
      </c>
      <c r="F890" s="171"/>
      <c r="G890" s="56">
        <v>39.229999999999997</v>
      </c>
      <c r="H890" s="57"/>
    </row>
    <row r="891" spans="1:8" x14ac:dyDescent="0.25">
      <c r="A891" s="2" t="s">
        <v>46</v>
      </c>
      <c r="B891" s="3" t="s">
        <v>46</v>
      </c>
      <c r="C891" s="3" t="s">
        <v>46</v>
      </c>
      <c r="D891" s="55" t="s">
        <v>2800</v>
      </c>
      <c r="E891" s="171" t="s">
        <v>46</v>
      </c>
      <c r="F891" s="171"/>
      <c r="G891" s="56">
        <v>9.32</v>
      </c>
      <c r="H891" s="26" t="s">
        <v>46</v>
      </c>
    </row>
    <row r="892" spans="1:8" x14ac:dyDescent="0.25">
      <c r="A892" s="2" t="s">
        <v>1674</v>
      </c>
      <c r="B892" s="3" t="s">
        <v>46</v>
      </c>
      <c r="C892" s="3" t="s">
        <v>1678</v>
      </c>
      <c r="D892" s="94" t="s">
        <v>1679</v>
      </c>
      <c r="E892" s="94"/>
      <c r="F892" s="3" t="s">
        <v>71</v>
      </c>
      <c r="G892" s="25">
        <v>1.0780000000000001</v>
      </c>
      <c r="H892" s="45">
        <v>0</v>
      </c>
    </row>
    <row r="893" spans="1:8" x14ac:dyDescent="0.25">
      <c r="A893" s="54"/>
      <c r="D893" s="55" t="s">
        <v>2809</v>
      </c>
      <c r="E893" s="171" t="s">
        <v>46</v>
      </c>
      <c r="F893" s="171"/>
      <c r="G893" s="56">
        <v>1.0780000000000001</v>
      </c>
      <c r="H893" s="57"/>
    </row>
    <row r="894" spans="1:8" x14ac:dyDescent="0.25">
      <c r="A894" s="58" t="s">
        <v>46</v>
      </c>
      <c r="B894" s="29" t="s">
        <v>46</v>
      </c>
      <c r="C894" s="29" t="s">
        <v>1680</v>
      </c>
      <c r="D894" s="151" t="s">
        <v>1681</v>
      </c>
      <c r="E894" s="151"/>
      <c r="F894" s="29" t="s">
        <v>46</v>
      </c>
      <c r="G894" s="11" t="s">
        <v>46</v>
      </c>
      <c r="H894" s="31" t="s">
        <v>46</v>
      </c>
    </row>
    <row r="895" spans="1:8" x14ac:dyDescent="0.25">
      <c r="A895" s="2" t="s">
        <v>1677</v>
      </c>
      <c r="B895" s="3" t="s">
        <v>46</v>
      </c>
      <c r="C895" s="3" t="s">
        <v>1683</v>
      </c>
      <c r="D895" s="94" t="s">
        <v>1684</v>
      </c>
      <c r="E895" s="94"/>
      <c r="F895" s="3" t="s">
        <v>93</v>
      </c>
      <c r="G895" s="25">
        <v>502.75</v>
      </c>
      <c r="H895" s="45">
        <v>0</v>
      </c>
    </row>
    <row r="896" spans="1:8" x14ac:dyDescent="0.25">
      <c r="A896" s="54"/>
      <c r="D896" s="55" t="s">
        <v>2699</v>
      </c>
      <c r="E896" s="171" t="s">
        <v>46</v>
      </c>
      <c r="F896" s="171"/>
      <c r="G896" s="56">
        <v>395.29</v>
      </c>
      <c r="H896" s="57"/>
    </row>
    <row r="897" spans="1:8" x14ac:dyDescent="0.25">
      <c r="A897" s="2" t="s">
        <v>46</v>
      </c>
      <c r="B897" s="3" t="s">
        <v>46</v>
      </c>
      <c r="C897" s="3" t="s">
        <v>46</v>
      </c>
      <c r="D897" s="55" t="s">
        <v>2697</v>
      </c>
      <c r="E897" s="171" t="s">
        <v>46</v>
      </c>
      <c r="F897" s="171"/>
      <c r="G897" s="56">
        <v>107.46</v>
      </c>
      <c r="H897" s="26" t="s">
        <v>46</v>
      </c>
    </row>
    <row r="898" spans="1:8" x14ac:dyDescent="0.25">
      <c r="A898" s="2" t="s">
        <v>1682</v>
      </c>
      <c r="B898" s="3" t="s">
        <v>46</v>
      </c>
      <c r="C898" s="3" t="s">
        <v>1687</v>
      </c>
      <c r="D898" s="94" t="s">
        <v>1688</v>
      </c>
      <c r="E898" s="94"/>
      <c r="F898" s="3" t="s">
        <v>131</v>
      </c>
      <c r="G898" s="25">
        <v>403.83199999999999</v>
      </c>
      <c r="H898" s="45">
        <v>0</v>
      </c>
    </row>
    <row r="899" spans="1:8" x14ac:dyDescent="0.25">
      <c r="A899" s="54"/>
      <c r="D899" s="55" t="s">
        <v>2810</v>
      </c>
      <c r="E899" s="171" t="s">
        <v>46</v>
      </c>
      <c r="F899" s="171"/>
      <c r="G899" s="56">
        <v>360.33199999999999</v>
      </c>
      <c r="H899" s="57"/>
    </row>
    <row r="900" spans="1:8" x14ac:dyDescent="0.25">
      <c r="A900" s="2" t="s">
        <v>46</v>
      </c>
      <c r="B900" s="3" t="s">
        <v>46</v>
      </c>
      <c r="C900" s="3" t="s">
        <v>46</v>
      </c>
      <c r="D900" s="55" t="s">
        <v>2811</v>
      </c>
      <c r="E900" s="171" t="s">
        <v>46</v>
      </c>
      <c r="F900" s="171"/>
      <c r="G900" s="56">
        <v>43.5</v>
      </c>
      <c r="H900" s="26" t="s">
        <v>46</v>
      </c>
    </row>
    <row r="901" spans="1:8" x14ac:dyDescent="0.25">
      <c r="A901" s="2" t="s">
        <v>1686</v>
      </c>
      <c r="B901" s="3" t="s">
        <v>46</v>
      </c>
      <c r="C901" s="3" t="s">
        <v>1690</v>
      </c>
      <c r="D901" s="94" t="s">
        <v>1691</v>
      </c>
      <c r="E901" s="94"/>
      <c r="F901" s="3" t="s">
        <v>131</v>
      </c>
      <c r="G901" s="25">
        <v>493.32</v>
      </c>
      <c r="H901" s="45">
        <v>0</v>
      </c>
    </row>
    <row r="902" spans="1:8" x14ac:dyDescent="0.25">
      <c r="A902" s="54"/>
      <c r="D902" s="55" t="s">
        <v>1306</v>
      </c>
      <c r="E902" s="171" t="s">
        <v>46</v>
      </c>
      <c r="F902" s="171"/>
      <c r="G902" s="56">
        <v>400</v>
      </c>
      <c r="H902" s="57"/>
    </row>
    <row r="903" spans="1:8" x14ac:dyDescent="0.25">
      <c r="A903" s="2" t="s">
        <v>46</v>
      </c>
      <c r="B903" s="3" t="s">
        <v>46</v>
      </c>
      <c r="C903" s="3" t="s">
        <v>46</v>
      </c>
      <c r="D903" s="55" t="s">
        <v>2812</v>
      </c>
      <c r="E903" s="171" t="s">
        <v>46</v>
      </c>
      <c r="F903" s="171"/>
      <c r="G903" s="56">
        <v>58.95</v>
      </c>
      <c r="H903" s="26" t="s">
        <v>46</v>
      </c>
    </row>
    <row r="904" spans="1:8" x14ac:dyDescent="0.25">
      <c r="A904" s="2" t="s">
        <v>46</v>
      </c>
      <c r="B904" s="3" t="s">
        <v>46</v>
      </c>
      <c r="C904" s="3" t="s">
        <v>46</v>
      </c>
      <c r="D904" s="55" t="s">
        <v>2813</v>
      </c>
      <c r="E904" s="171" t="s">
        <v>46</v>
      </c>
      <c r="F904" s="171"/>
      <c r="G904" s="56">
        <v>34.369999999999997</v>
      </c>
      <c r="H904" s="26" t="s">
        <v>46</v>
      </c>
    </row>
    <row r="905" spans="1:8" x14ac:dyDescent="0.25">
      <c r="A905" s="2" t="s">
        <v>1689</v>
      </c>
      <c r="B905" s="3" t="s">
        <v>46</v>
      </c>
      <c r="C905" s="3" t="s">
        <v>1693</v>
      </c>
      <c r="D905" s="94" t="s">
        <v>1694</v>
      </c>
      <c r="E905" s="94"/>
      <c r="F905" s="3" t="s">
        <v>131</v>
      </c>
      <c r="G905" s="25">
        <v>101.57</v>
      </c>
      <c r="H905" s="45">
        <v>0</v>
      </c>
    </row>
    <row r="906" spans="1:8" x14ac:dyDescent="0.25">
      <c r="A906" s="54"/>
      <c r="D906" s="55" t="s">
        <v>336</v>
      </c>
      <c r="E906" s="171" t="s">
        <v>46</v>
      </c>
      <c r="F906" s="171"/>
      <c r="G906" s="56">
        <v>85</v>
      </c>
      <c r="H906" s="57"/>
    </row>
    <row r="907" spans="1:8" x14ac:dyDescent="0.25">
      <c r="A907" s="2" t="s">
        <v>46</v>
      </c>
      <c r="B907" s="3" t="s">
        <v>46</v>
      </c>
      <c r="C907" s="3" t="s">
        <v>46</v>
      </c>
      <c r="D907" s="55" t="s">
        <v>2814</v>
      </c>
      <c r="E907" s="171" t="s">
        <v>46</v>
      </c>
      <c r="F907" s="171"/>
      <c r="G907" s="56">
        <v>16.57</v>
      </c>
      <c r="H907" s="26" t="s">
        <v>46</v>
      </c>
    </row>
    <row r="908" spans="1:8" x14ac:dyDescent="0.25">
      <c r="A908" s="2" t="s">
        <v>1692</v>
      </c>
      <c r="B908" s="3" t="s">
        <v>46</v>
      </c>
      <c r="C908" s="3" t="s">
        <v>1696</v>
      </c>
      <c r="D908" s="94" t="s">
        <v>1697</v>
      </c>
      <c r="E908" s="94"/>
      <c r="F908" s="3" t="s">
        <v>93</v>
      </c>
      <c r="G908" s="25">
        <v>272.24</v>
      </c>
      <c r="H908" s="45">
        <v>0</v>
      </c>
    </row>
    <row r="909" spans="1:8" x14ac:dyDescent="0.25">
      <c r="A909" s="54"/>
      <c r="D909" s="55" t="s">
        <v>2815</v>
      </c>
      <c r="E909" s="171" t="s">
        <v>46</v>
      </c>
      <c r="F909" s="171"/>
      <c r="G909" s="56">
        <v>247.09</v>
      </c>
      <c r="H909" s="57"/>
    </row>
    <row r="910" spans="1:8" x14ac:dyDescent="0.25">
      <c r="A910" s="2" t="s">
        <v>46</v>
      </c>
      <c r="B910" s="3" t="s">
        <v>46</v>
      </c>
      <c r="C910" s="3" t="s">
        <v>46</v>
      </c>
      <c r="D910" s="55" t="s">
        <v>2816</v>
      </c>
      <c r="E910" s="171" t="s">
        <v>46</v>
      </c>
      <c r="F910" s="171"/>
      <c r="G910" s="56">
        <v>25.15</v>
      </c>
      <c r="H910" s="26" t="s">
        <v>46</v>
      </c>
    </row>
    <row r="911" spans="1:8" x14ac:dyDescent="0.25">
      <c r="A911" s="2" t="s">
        <v>1695</v>
      </c>
      <c r="B911" s="3" t="s">
        <v>46</v>
      </c>
      <c r="C911" s="3" t="s">
        <v>1699</v>
      </c>
      <c r="D911" s="94" t="s">
        <v>1700</v>
      </c>
      <c r="E911" s="94"/>
      <c r="F911" s="3" t="s">
        <v>93</v>
      </c>
      <c r="G911" s="25">
        <v>133.56</v>
      </c>
      <c r="H911" s="45">
        <v>0</v>
      </c>
    </row>
    <row r="912" spans="1:8" x14ac:dyDescent="0.25">
      <c r="A912" s="54"/>
      <c r="D912" s="55" t="s">
        <v>2817</v>
      </c>
      <c r="E912" s="171" t="s">
        <v>46</v>
      </c>
      <c r="F912" s="171"/>
      <c r="G912" s="56">
        <v>121.68</v>
      </c>
      <c r="H912" s="57"/>
    </row>
    <row r="913" spans="1:8" x14ac:dyDescent="0.25">
      <c r="A913" s="2" t="s">
        <v>46</v>
      </c>
      <c r="B913" s="3" t="s">
        <v>46</v>
      </c>
      <c r="C913" s="3" t="s">
        <v>46</v>
      </c>
      <c r="D913" s="55" t="s">
        <v>2818</v>
      </c>
      <c r="E913" s="171" t="s">
        <v>46</v>
      </c>
      <c r="F913" s="171"/>
      <c r="G913" s="56">
        <v>11.88</v>
      </c>
      <c r="H913" s="26" t="s">
        <v>46</v>
      </c>
    </row>
    <row r="914" spans="1:8" x14ac:dyDescent="0.25">
      <c r="A914" s="2" t="s">
        <v>1698</v>
      </c>
      <c r="B914" s="3" t="s">
        <v>46</v>
      </c>
      <c r="C914" s="3" t="s">
        <v>1702</v>
      </c>
      <c r="D914" s="94" t="s">
        <v>1703</v>
      </c>
      <c r="E914" s="94"/>
      <c r="F914" s="3" t="s">
        <v>93</v>
      </c>
      <c r="G914" s="25">
        <v>20.54</v>
      </c>
      <c r="H914" s="45">
        <v>0</v>
      </c>
    </row>
    <row r="915" spans="1:8" x14ac:dyDescent="0.25">
      <c r="A915" s="54"/>
      <c r="D915" s="55" t="s">
        <v>2819</v>
      </c>
      <c r="E915" s="171" t="s">
        <v>46</v>
      </c>
      <c r="F915" s="171"/>
      <c r="G915" s="56">
        <v>14.9</v>
      </c>
      <c r="H915" s="57"/>
    </row>
    <row r="916" spans="1:8" x14ac:dyDescent="0.25">
      <c r="A916" s="2" t="s">
        <v>46</v>
      </c>
      <c r="B916" s="3" t="s">
        <v>46</v>
      </c>
      <c r="C916" s="3" t="s">
        <v>46</v>
      </c>
      <c r="D916" s="55" t="s">
        <v>2820</v>
      </c>
      <c r="E916" s="171" t="s">
        <v>46</v>
      </c>
      <c r="F916" s="171"/>
      <c r="G916" s="56">
        <v>5.64</v>
      </c>
      <c r="H916" s="26" t="s">
        <v>46</v>
      </c>
    </row>
    <row r="917" spans="1:8" x14ac:dyDescent="0.25">
      <c r="A917" s="2" t="s">
        <v>1701</v>
      </c>
      <c r="B917" s="3" t="s">
        <v>46</v>
      </c>
      <c r="C917" s="3" t="s">
        <v>1705</v>
      </c>
      <c r="D917" s="94" t="s">
        <v>1706</v>
      </c>
      <c r="E917" s="94"/>
      <c r="F917" s="3" t="s">
        <v>93</v>
      </c>
      <c r="G917" s="25">
        <v>502.75</v>
      </c>
      <c r="H917" s="45">
        <v>0</v>
      </c>
    </row>
    <row r="918" spans="1:8" x14ac:dyDescent="0.25">
      <c r="A918" s="54"/>
      <c r="D918" s="55" t="s">
        <v>2821</v>
      </c>
      <c r="E918" s="171" t="s">
        <v>46</v>
      </c>
      <c r="F918" s="171"/>
      <c r="G918" s="56">
        <v>395.29</v>
      </c>
      <c r="H918" s="57"/>
    </row>
    <row r="919" spans="1:8" x14ac:dyDescent="0.25">
      <c r="A919" s="2" t="s">
        <v>46</v>
      </c>
      <c r="B919" s="3" t="s">
        <v>46</v>
      </c>
      <c r="C919" s="3" t="s">
        <v>46</v>
      </c>
      <c r="D919" s="55" t="s">
        <v>2697</v>
      </c>
      <c r="E919" s="171" t="s">
        <v>46</v>
      </c>
      <c r="F919" s="171"/>
      <c r="G919" s="56">
        <v>107.46</v>
      </c>
      <c r="H919" s="26" t="s">
        <v>46</v>
      </c>
    </row>
    <row r="920" spans="1:8" x14ac:dyDescent="0.25">
      <c r="A920" s="2" t="s">
        <v>1704</v>
      </c>
      <c r="B920" s="3" t="s">
        <v>46</v>
      </c>
      <c r="C920" s="3" t="s">
        <v>1708</v>
      </c>
      <c r="D920" s="94" t="s">
        <v>1709</v>
      </c>
      <c r="E920" s="94"/>
      <c r="F920" s="3" t="s">
        <v>93</v>
      </c>
      <c r="G920" s="25">
        <v>364.58800000000002</v>
      </c>
      <c r="H920" s="45">
        <v>0</v>
      </c>
    </row>
    <row r="921" spans="1:8" x14ac:dyDescent="0.25">
      <c r="A921" s="54"/>
      <c r="D921" s="55" t="s">
        <v>2822</v>
      </c>
      <c r="E921" s="171" t="s">
        <v>46</v>
      </c>
      <c r="F921" s="171"/>
      <c r="G921" s="56">
        <v>291.67</v>
      </c>
      <c r="H921" s="57"/>
    </row>
    <row r="922" spans="1:8" x14ac:dyDescent="0.25">
      <c r="A922" s="2" t="s">
        <v>46</v>
      </c>
      <c r="B922" s="3" t="s">
        <v>46</v>
      </c>
      <c r="C922" s="3" t="s">
        <v>46</v>
      </c>
      <c r="D922" s="55" t="s">
        <v>2823</v>
      </c>
      <c r="E922" s="171" t="s">
        <v>46</v>
      </c>
      <c r="F922" s="171"/>
      <c r="G922" s="56">
        <v>72.918000000000006</v>
      </c>
      <c r="H922" s="26" t="s">
        <v>46</v>
      </c>
    </row>
    <row r="923" spans="1:8" x14ac:dyDescent="0.25">
      <c r="A923" s="2" t="s">
        <v>1707</v>
      </c>
      <c r="B923" s="3" t="s">
        <v>46</v>
      </c>
      <c r="C923" s="3" t="s">
        <v>1711</v>
      </c>
      <c r="D923" s="94" t="s">
        <v>1712</v>
      </c>
      <c r="E923" s="94"/>
      <c r="F923" s="3" t="s">
        <v>93</v>
      </c>
      <c r="G923" s="25">
        <v>263.85000000000002</v>
      </c>
      <c r="H923" s="45">
        <v>0</v>
      </c>
    </row>
    <row r="924" spans="1:8" x14ac:dyDescent="0.25">
      <c r="A924" s="54"/>
      <c r="D924" s="55" t="s">
        <v>2824</v>
      </c>
      <c r="E924" s="171" t="s">
        <v>46</v>
      </c>
      <c r="F924" s="171"/>
      <c r="G924" s="56">
        <v>211.08</v>
      </c>
      <c r="H924" s="57"/>
    </row>
    <row r="925" spans="1:8" x14ac:dyDescent="0.25">
      <c r="A925" s="2" t="s">
        <v>46</v>
      </c>
      <c r="B925" s="3" t="s">
        <v>46</v>
      </c>
      <c r="C925" s="3" t="s">
        <v>46</v>
      </c>
      <c r="D925" s="55" t="s">
        <v>2825</v>
      </c>
      <c r="E925" s="171" t="s">
        <v>46</v>
      </c>
      <c r="F925" s="171"/>
      <c r="G925" s="56">
        <v>52.77</v>
      </c>
      <c r="H925" s="26" t="s">
        <v>46</v>
      </c>
    </row>
    <row r="926" spans="1:8" x14ac:dyDescent="0.25">
      <c r="A926" s="2" t="s">
        <v>1710</v>
      </c>
      <c r="B926" s="3" t="s">
        <v>46</v>
      </c>
      <c r="C926" s="3" t="s">
        <v>1714</v>
      </c>
      <c r="D926" s="94" t="s">
        <v>1715</v>
      </c>
      <c r="E926" s="94"/>
      <c r="F926" s="3" t="s">
        <v>71</v>
      </c>
      <c r="G926" s="25">
        <v>3.23</v>
      </c>
      <c r="H926" s="45">
        <v>0</v>
      </c>
    </row>
    <row r="927" spans="1:8" x14ac:dyDescent="0.25">
      <c r="A927" s="54"/>
      <c r="D927" s="55" t="s">
        <v>2826</v>
      </c>
      <c r="E927" s="171" t="s">
        <v>46</v>
      </c>
      <c r="F927" s="171"/>
      <c r="G927" s="56">
        <v>3.23</v>
      </c>
      <c r="H927" s="57"/>
    </row>
    <row r="928" spans="1:8" x14ac:dyDescent="0.25">
      <c r="A928" s="58" t="s">
        <v>46</v>
      </c>
      <c r="B928" s="29" t="s">
        <v>46</v>
      </c>
      <c r="C928" s="29" t="s">
        <v>1716</v>
      </c>
      <c r="D928" s="151" t="s">
        <v>1717</v>
      </c>
      <c r="E928" s="151"/>
      <c r="F928" s="29" t="s">
        <v>46</v>
      </c>
      <c r="G928" s="11" t="s">
        <v>46</v>
      </c>
      <c r="H928" s="31" t="s">
        <v>46</v>
      </c>
    </row>
    <row r="929" spans="1:8" x14ac:dyDescent="0.25">
      <c r="A929" s="2" t="s">
        <v>1713</v>
      </c>
      <c r="B929" s="3" t="s">
        <v>46</v>
      </c>
      <c r="C929" s="3" t="s">
        <v>1719</v>
      </c>
      <c r="D929" s="94" t="s">
        <v>1720</v>
      </c>
      <c r="E929" s="94"/>
      <c r="F929" s="3" t="s">
        <v>93</v>
      </c>
      <c r="G929" s="25">
        <v>43.703000000000003</v>
      </c>
      <c r="H929" s="45">
        <v>0</v>
      </c>
    </row>
    <row r="930" spans="1:8" x14ac:dyDescent="0.25">
      <c r="A930" s="54"/>
      <c r="D930" s="55" t="s">
        <v>2827</v>
      </c>
      <c r="E930" s="171" t="s">
        <v>46</v>
      </c>
      <c r="F930" s="171"/>
      <c r="G930" s="56">
        <v>1.35</v>
      </c>
      <c r="H930" s="57"/>
    </row>
    <row r="931" spans="1:8" x14ac:dyDescent="0.25">
      <c r="A931" s="2" t="s">
        <v>46</v>
      </c>
      <c r="B931" s="3" t="s">
        <v>46</v>
      </c>
      <c r="C931" s="3" t="s">
        <v>46</v>
      </c>
      <c r="D931" s="55" t="s">
        <v>2828</v>
      </c>
      <c r="E931" s="171" t="s">
        <v>46</v>
      </c>
      <c r="F931" s="171"/>
      <c r="G931" s="56">
        <v>42.353000000000002</v>
      </c>
      <c r="H931" s="26" t="s">
        <v>46</v>
      </c>
    </row>
    <row r="932" spans="1:8" x14ac:dyDescent="0.25">
      <c r="A932" s="2" t="s">
        <v>1718</v>
      </c>
      <c r="B932" s="3" t="s">
        <v>46</v>
      </c>
      <c r="C932" s="3" t="s">
        <v>1724</v>
      </c>
      <c r="D932" s="94" t="s">
        <v>1725</v>
      </c>
      <c r="E932" s="94"/>
      <c r="F932" s="3" t="s">
        <v>93</v>
      </c>
      <c r="G932" s="25">
        <v>308.32400000000001</v>
      </c>
      <c r="H932" s="45">
        <v>0</v>
      </c>
    </row>
    <row r="933" spans="1:8" x14ac:dyDescent="0.25">
      <c r="A933" s="54"/>
      <c r="D933" s="55" t="s">
        <v>2829</v>
      </c>
      <c r="E933" s="171" t="s">
        <v>46</v>
      </c>
      <c r="F933" s="171"/>
      <c r="G933" s="56">
        <v>259.68799999999999</v>
      </c>
      <c r="H933" s="57"/>
    </row>
    <row r="934" spans="1:8" x14ac:dyDescent="0.25">
      <c r="A934" s="2" t="s">
        <v>46</v>
      </c>
      <c r="B934" s="3" t="s">
        <v>46</v>
      </c>
      <c r="C934" s="3" t="s">
        <v>46</v>
      </c>
      <c r="D934" s="55" t="s">
        <v>2830</v>
      </c>
      <c r="E934" s="171" t="s">
        <v>46</v>
      </c>
      <c r="F934" s="171"/>
      <c r="G934" s="56">
        <v>48.636000000000003</v>
      </c>
      <c r="H934" s="26" t="s">
        <v>46</v>
      </c>
    </row>
    <row r="935" spans="1:8" x14ac:dyDescent="0.25">
      <c r="A935" s="2" t="s">
        <v>1723</v>
      </c>
      <c r="B935" s="3" t="s">
        <v>46</v>
      </c>
      <c r="C935" s="3" t="s">
        <v>1727</v>
      </c>
      <c r="D935" s="94" t="s">
        <v>1728</v>
      </c>
      <c r="E935" s="94"/>
      <c r="F935" s="3" t="s">
        <v>93</v>
      </c>
      <c r="G935" s="25">
        <v>308.32400000000001</v>
      </c>
      <c r="H935" s="45">
        <v>0</v>
      </c>
    </row>
    <row r="936" spans="1:8" x14ac:dyDescent="0.25">
      <c r="A936" s="54"/>
      <c r="D936" s="55" t="s">
        <v>2831</v>
      </c>
      <c r="E936" s="171" t="s">
        <v>46</v>
      </c>
      <c r="F936" s="171"/>
      <c r="G936" s="56">
        <v>9</v>
      </c>
      <c r="H936" s="57"/>
    </row>
    <row r="937" spans="1:8" x14ac:dyDescent="0.25">
      <c r="A937" s="2" t="s">
        <v>46</v>
      </c>
      <c r="B937" s="3" t="s">
        <v>46</v>
      </c>
      <c r="C937" s="3" t="s">
        <v>46</v>
      </c>
      <c r="D937" s="55" t="s">
        <v>2832</v>
      </c>
      <c r="E937" s="171" t="s">
        <v>46</v>
      </c>
      <c r="F937" s="171"/>
      <c r="G937" s="56">
        <v>250.68799999999999</v>
      </c>
      <c r="H937" s="26" t="s">
        <v>46</v>
      </c>
    </row>
    <row r="938" spans="1:8" x14ac:dyDescent="0.25">
      <c r="A938" s="2" t="s">
        <v>46</v>
      </c>
      <c r="B938" s="3" t="s">
        <v>46</v>
      </c>
      <c r="C938" s="3" t="s">
        <v>46</v>
      </c>
      <c r="D938" s="55" t="s">
        <v>2830</v>
      </c>
      <c r="E938" s="171" t="s">
        <v>46</v>
      </c>
      <c r="F938" s="171"/>
      <c r="G938" s="56">
        <v>48.636000000000003</v>
      </c>
      <c r="H938" s="26" t="s">
        <v>46</v>
      </c>
    </row>
    <row r="939" spans="1:8" x14ac:dyDescent="0.25">
      <c r="A939" s="2" t="s">
        <v>1726</v>
      </c>
      <c r="B939" s="3" t="s">
        <v>46</v>
      </c>
      <c r="C939" s="3" t="s">
        <v>1730</v>
      </c>
      <c r="D939" s="94" t="s">
        <v>1731</v>
      </c>
      <c r="E939" s="94"/>
      <c r="F939" s="3" t="s">
        <v>93</v>
      </c>
      <c r="G939" s="25">
        <v>323.74</v>
      </c>
      <c r="H939" s="45">
        <v>0</v>
      </c>
    </row>
    <row r="940" spans="1:8" x14ac:dyDescent="0.25">
      <c r="A940" s="54"/>
      <c r="D940" s="55" t="s">
        <v>2833</v>
      </c>
      <c r="E940" s="171" t="s">
        <v>46</v>
      </c>
      <c r="F940" s="171"/>
      <c r="G940" s="56">
        <v>308.32400000000001</v>
      </c>
      <c r="H940" s="57"/>
    </row>
    <row r="941" spans="1:8" x14ac:dyDescent="0.25">
      <c r="A941" s="2" t="s">
        <v>46</v>
      </c>
      <c r="B941" s="3" t="s">
        <v>46</v>
      </c>
      <c r="C941" s="3" t="s">
        <v>46</v>
      </c>
      <c r="D941" s="55" t="s">
        <v>2834</v>
      </c>
      <c r="E941" s="171" t="s">
        <v>46</v>
      </c>
      <c r="F941" s="171"/>
      <c r="G941" s="56">
        <v>15.416</v>
      </c>
      <c r="H941" s="26" t="s">
        <v>46</v>
      </c>
    </row>
    <row r="942" spans="1:8" x14ac:dyDescent="0.25">
      <c r="A942" s="2" t="s">
        <v>1729</v>
      </c>
      <c r="B942" s="3" t="s">
        <v>46</v>
      </c>
      <c r="C942" s="3" t="s">
        <v>1733</v>
      </c>
      <c r="D942" s="94" t="s">
        <v>1734</v>
      </c>
      <c r="E942" s="94"/>
      <c r="F942" s="3" t="s">
        <v>93</v>
      </c>
      <c r="G942" s="25">
        <v>308.32400000000001</v>
      </c>
      <c r="H942" s="45">
        <v>0</v>
      </c>
    </row>
    <row r="943" spans="1:8" x14ac:dyDescent="0.25">
      <c r="A943" s="54"/>
      <c r="D943" s="55" t="s">
        <v>2829</v>
      </c>
      <c r="E943" s="171" t="s">
        <v>46</v>
      </c>
      <c r="F943" s="171"/>
      <c r="G943" s="56">
        <v>259.68799999999999</v>
      </c>
      <c r="H943" s="57"/>
    </row>
    <row r="944" spans="1:8" x14ac:dyDescent="0.25">
      <c r="A944" s="2" t="s">
        <v>46</v>
      </c>
      <c r="B944" s="3" t="s">
        <v>46</v>
      </c>
      <c r="C944" s="3" t="s">
        <v>46</v>
      </c>
      <c r="D944" s="55" t="s">
        <v>2830</v>
      </c>
      <c r="E944" s="171" t="s">
        <v>46</v>
      </c>
      <c r="F944" s="171"/>
      <c r="G944" s="56">
        <v>48.636000000000003</v>
      </c>
      <c r="H944" s="26" t="s">
        <v>46</v>
      </c>
    </row>
    <row r="945" spans="1:8" x14ac:dyDescent="0.25">
      <c r="A945" s="2" t="s">
        <v>1732</v>
      </c>
      <c r="B945" s="3" t="s">
        <v>46</v>
      </c>
      <c r="C945" s="3" t="s">
        <v>1736</v>
      </c>
      <c r="D945" s="94" t="s">
        <v>1737</v>
      </c>
      <c r="E945" s="94"/>
      <c r="F945" s="3" t="s">
        <v>131</v>
      </c>
      <c r="G945" s="25">
        <v>168.38800000000001</v>
      </c>
      <c r="H945" s="45">
        <v>0</v>
      </c>
    </row>
    <row r="946" spans="1:8" x14ac:dyDescent="0.25">
      <c r="A946" s="54"/>
      <c r="D946" s="55" t="s">
        <v>2835</v>
      </c>
      <c r="E946" s="171" t="s">
        <v>46</v>
      </c>
      <c r="F946" s="171"/>
      <c r="G946" s="56">
        <v>4.5</v>
      </c>
      <c r="H946" s="57"/>
    </row>
    <row r="947" spans="1:8" x14ac:dyDescent="0.25">
      <c r="A947" s="2" t="s">
        <v>46</v>
      </c>
      <c r="B947" s="3" t="s">
        <v>46</v>
      </c>
      <c r="C947" s="3" t="s">
        <v>46</v>
      </c>
      <c r="D947" s="55" t="s">
        <v>2836</v>
      </c>
      <c r="E947" s="171" t="s">
        <v>46</v>
      </c>
      <c r="F947" s="171"/>
      <c r="G947" s="56">
        <v>136.25800000000001</v>
      </c>
      <c r="H947" s="26" t="s">
        <v>46</v>
      </c>
    </row>
    <row r="948" spans="1:8" x14ac:dyDescent="0.25">
      <c r="A948" s="2" t="s">
        <v>46</v>
      </c>
      <c r="B948" s="3" t="s">
        <v>46</v>
      </c>
      <c r="C948" s="3" t="s">
        <v>46</v>
      </c>
      <c r="D948" s="55" t="s">
        <v>2837</v>
      </c>
      <c r="E948" s="171" t="s">
        <v>46</v>
      </c>
      <c r="F948" s="171"/>
      <c r="G948" s="56">
        <v>27.63</v>
      </c>
      <c r="H948" s="26" t="s">
        <v>46</v>
      </c>
    </row>
    <row r="949" spans="1:8" x14ac:dyDescent="0.25">
      <c r="A949" s="2" t="s">
        <v>1735</v>
      </c>
      <c r="B949" s="3" t="s">
        <v>46</v>
      </c>
      <c r="C949" s="3" t="s">
        <v>1739</v>
      </c>
      <c r="D949" s="94" t="s">
        <v>1740</v>
      </c>
      <c r="E949" s="94"/>
      <c r="F949" s="3" t="s">
        <v>131</v>
      </c>
      <c r="G949" s="25">
        <v>33.75</v>
      </c>
      <c r="H949" s="45">
        <v>0</v>
      </c>
    </row>
    <row r="950" spans="1:8" x14ac:dyDescent="0.25">
      <c r="A950" s="54"/>
      <c r="D950" s="55" t="s">
        <v>2838</v>
      </c>
      <c r="E950" s="171" t="s">
        <v>46</v>
      </c>
      <c r="F950" s="171"/>
      <c r="G950" s="56">
        <v>33.75</v>
      </c>
      <c r="H950" s="57"/>
    </row>
    <row r="951" spans="1:8" x14ac:dyDescent="0.25">
      <c r="A951" s="2" t="s">
        <v>1738</v>
      </c>
      <c r="B951" s="3" t="s">
        <v>46</v>
      </c>
      <c r="C951" s="3" t="s">
        <v>1742</v>
      </c>
      <c r="D951" s="94" t="s">
        <v>1743</v>
      </c>
      <c r="E951" s="94"/>
      <c r="F951" s="3" t="s">
        <v>71</v>
      </c>
      <c r="G951" s="25">
        <v>5.5759999999999996</v>
      </c>
      <c r="H951" s="45">
        <v>0</v>
      </c>
    </row>
    <row r="952" spans="1:8" x14ac:dyDescent="0.25">
      <c r="A952" s="54"/>
      <c r="D952" s="55" t="s">
        <v>2839</v>
      </c>
      <c r="E952" s="171" t="s">
        <v>46</v>
      </c>
      <c r="F952" s="171"/>
      <c r="G952" s="56">
        <v>5.5759999999999996</v>
      </c>
      <c r="H952" s="57"/>
    </row>
    <row r="953" spans="1:8" x14ac:dyDescent="0.25">
      <c r="A953" s="58" t="s">
        <v>46</v>
      </c>
      <c r="B953" s="29" t="s">
        <v>46</v>
      </c>
      <c r="C953" s="29" t="s">
        <v>1744</v>
      </c>
      <c r="D953" s="151" t="s">
        <v>1745</v>
      </c>
      <c r="E953" s="151"/>
      <c r="F953" s="29" t="s">
        <v>46</v>
      </c>
      <c r="G953" s="11" t="s">
        <v>46</v>
      </c>
      <c r="H953" s="31" t="s">
        <v>46</v>
      </c>
    </row>
    <row r="954" spans="1:8" x14ac:dyDescent="0.25">
      <c r="A954" s="2" t="s">
        <v>1741</v>
      </c>
      <c r="B954" s="3" t="s">
        <v>46</v>
      </c>
      <c r="C954" s="3" t="s">
        <v>1747</v>
      </c>
      <c r="D954" s="94" t="s">
        <v>1751</v>
      </c>
      <c r="E954" s="94"/>
      <c r="F954" s="3" t="s">
        <v>93</v>
      </c>
      <c r="G954" s="25">
        <v>234.2</v>
      </c>
      <c r="H954" s="45">
        <v>0</v>
      </c>
    </row>
    <row r="955" spans="1:8" x14ac:dyDescent="0.25">
      <c r="A955" s="54"/>
      <c r="D955" s="55" t="s">
        <v>2840</v>
      </c>
      <c r="E955" s="171" t="s">
        <v>46</v>
      </c>
      <c r="F955" s="171"/>
      <c r="G955" s="56">
        <v>7.3470000000000004</v>
      </c>
      <c r="H955" s="57"/>
    </row>
    <row r="956" spans="1:8" x14ac:dyDescent="0.25">
      <c r="A956" s="2" t="s">
        <v>46</v>
      </c>
      <c r="B956" s="3" t="s">
        <v>46</v>
      </c>
      <c r="C956" s="3" t="s">
        <v>46</v>
      </c>
      <c r="D956" s="55" t="s">
        <v>2841</v>
      </c>
      <c r="E956" s="171" t="s">
        <v>46</v>
      </c>
      <c r="F956" s="171"/>
      <c r="G956" s="56">
        <v>66.570999999999998</v>
      </c>
      <c r="H956" s="26" t="s">
        <v>46</v>
      </c>
    </row>
    <row r="957" spans="1:8" x14ac:dyDescent="0.25">
      <c r="A957" s="2" t="s">
        <v>46</v>
      </c>
      <c r="B957" s="3" t="s">
        <v>46</v>
      </c>
      <c r="C957" s="3" t="s">
        <v>46</v>
      </c>
      <c r="D957" s="55" t="s">
        <v>2842</v>
      </c>
      <c r="E957" s="171" t="s">
        <v>46</v>
      </c>
      <c r="F957" s="171"/>
      <c r="G957" s="56">
        <v>155.04</v>
      </c>
      <c r="H957" s="26" t="s">
        <v>46</v>
      </c>
    </row>
    <row r="958" spans="1:8" x14ac:dyDescent="0.25">
      <c r="A958" s="2" t="s">
        <v>46</v>
      </c>
      <c r="B958" s="3" t="s">
        <v>46</v>
      </c>
      <c r="C958" s="3" t="s">
        <v>46</v>
      </c>
      <c r="D958" s="55" t="s">
        <v>2843</v>
      </c>
      <c r="E958" s="171" t="s">
        <v>46</v>
      </c>
      <c r="F958" s="171"/>
      <c r="G958" s="56">
        <v>5.242</v>
      </c>
      <c r="H958" s="26" t="s">
        <v>46</v>
      </c>
    </row>
    <row r="959" spans="1:8" x14ac:dyDescent="0.25">
      <c r="A959" s="2" t="s">
        <v>1746</v>
      </c>
      <c r="B959" s="3" t="s">
        <v>46</v>
      </c>
      <c r="C959" s="3" t="s">
        <v>1753</v>
      </c>
      <c r="D959" s="94" t="s">
        <v>1754</v>
      </c>
      <c r="E959" s="94"/>
      <c r="F959" s="3" t="s">
        <v>93</v>
      </c>
      <c r="G959" s="25">
        <v>234.2</v>
      </c>
      <c r="H959" s="45">
        <v>0</v>
      </c>
    </row>
    <row r="960" spans="1:8" x14ac:dyDescent="0.25">
      <c r="A960" s="54"/>
      <c r="D960" s="55" t="s">
        <v>2844</v>
      </c>
      <c r="E960" s="171" t="s">
        <v>46</v>
      </c>
      <c r="F960" s="171"/>
      <c r="G960" s="56">
        <v>234.2</v>
      </c>
      <c r="H960" s="57"/>
    </row>
    <row r="961" spans="1:8" x14ac:dyDescent="0.25">
      <c r="A961" s="2" t="s">
        <v>1750</v>
      </c>
      <c r="B961" s="3" t="s">
        <v>46</v>
      </c>
      <c r="C961" s="3" t="s">
        <v>1756</v>
      </c>
      <c r="D961" s="94" t="s">
        <v>1757</v>
      </c>
      <c r="E961" s="94"/>
      <c r="F961" s="3" t="s">
        <v>93</v>
      </c>
      <c r="G961" s="25">
        <v>53.024999999999999</v>
      </c>
      <c r="H961" s="45">
        <v>0</v>
      </c>
    </row>
    <row r="962" spans="1:8" x14ac:dyDescent="0.25">
      <c r="A962" s="54"/>
      <c r="D962" s="55" t="s">
        <v>2845</v>
      </c>
      <c r="E962" s="171" t="s">
        <v>46</v>
      </c>
      <c r="F962" s="171"/>
      <c r="G962" s="56">
        <v>7.35</v>
      </c>
      <c r="H962" s="57"/>
    </row>
    <row r="963" spans="1:8" x14ac:dyDescent="0.25">
      <c r="A963" s="2" t="s">
        <v>46</v>
      </c>
      <c r="B963" s="3" t="s">
        <v>46</v>
      </c>
      <c r="C963" s="3" t="s">
        <v>46</v>
      </c>
      <c r="D963" s="55" t="s">
        <v>2846</v>
      </c>
      <c r="E963" s="171" t="s">
        <v>46</v>
      </c>
      <c r="F963" s="171"/>
      <c r="G963" s="56">
        <v>24.1</v>
      </c>
      <c r="H963" s="26" t="s">
        <v>46</v>
      </c>
    </row>
    <row r="964" spans="1:8" x14ac:dyDescent="0.25">
      <c r="A964" s="2" t="s">
        <v>46</v>
      </c>
      <c r="B964" s="3" t="s">
        <v>46</v>
      </c>
      <c r="C964" s="3" t="s">
        <v>46</v>
      </c>
      <c r="D964" s="55" t="s">
        <v>2847</v>
      </c>
      <c r="E964" s="171" t="s">
        <v>46</v>
      </c>
      <c r="F964" s="171"/>
      <c r="G964" s="56">
        <v>17.774999999999999</v>
      </c>
      <c r="H964" s="26" t="s">
        <v>46</v>
      </c>
    </row>
    <row r="965" spans="1:8" x14ac:dyDescent="0.25">
      <c r="A965" s="2" t="s">
        <v>46</v>
      </c>
      <c r="B965" s="3" t="s">
        <v>46</v>
      </c>
      <c r="C965" s="3" t="s">
        <v>46</v>
      </c>
      <c r="D965" s="55" t="s">
        <v>2848</v>
      </c>
      <c r="E965" s="171" t="s">
        <v>46</v>
      </c>
      <c r="F965" s="171"/>
      <c r="G965" s="56">
        <v>3.8</v>
      </c>
      <c r="H965" s="26" t="s">
        <v>46</v>
      </c>
    </row>
    <row r="966" spans="1:8" x14ac:dyDescent="0.25">
      <c r="A966" s="2" t="s">
        <v>1752</v>
      </c>
      <c r="B966" s="3" t="s">
        <v>46</v>
      </c>
      <c r="C966" s="3" t="s">
        <v>1759</v>
      </c>
      <c r="D966" s="94" t="s">
        <v>1760</v>
      </c>
      <c r="E966" s="94"/>
      <c r="F966" s="3" t="s">
        <v>93</v>
      </c>
      <c r="G966" s="25">
        <v>53.024999999999999</v>
      </c>
      <c r="H966" s="45">
        <v>0</v>
      </c>
    </row>
    <row r="967" spans="1:8" x14ac:dyDescent="0.25">
      <c r="A967" s="54"/>
      <c r="D967" s="55" t="s">
        <v>2845</v>
      </c>
      <c r="E967" s="171" t="s">
        <v>46</v>
      </c>
      <c r="F967" s="171"/>
      <c r="G967" s="56">
        <v>7.35</v>
      </c>
      <c r="H967" s="57"/>
    </row>
    <row r="968" spans="1:8" x14ac:dyDescent="0.25">
      <c r="A968" s="2" t="s">
        <v>46</v>
      </c>
      <c r="B968" s="3" t="s">
        <v>46</v>
      </c>
      <c r="C968" s="3" t="s">
        <v>46</v>
      </c>
      <c r="D968" s="55" t="s">
        <v>2846</v>
      </c>
      <c r="E968" s="171" t="s">
        <v>46</v>
      </c>
      <c r="F968" s="171"/>
      <c r="G968" s="56">
        <v>24.1</v>
      </c>
      <c r="H968" s="26" t="s">
        <v>46</v>
      </c>
    </row>
    <row r="969" spans="1:8" x14ac:dyDescent="0.25">
      <c r="A969" s="2" t="s">
        <v>46</v>
      </c>
      <c r="B969" s="3" t="s">
        <v>46</v>
      </c>
      <c r="C969" s="3" t="s">
        <v>46</v>
      </c>
      <c r="D969" s="55" t="s">
        <v>2847</v>
      </c>
      <c r="E969" s="171" t="s">
        <v>46</v>
      </c>
      <c r="F969" s="171"/>
      <c r="G969" s="56">
        <v>17.774999999999999</v>
      </c>
      <c r="H969" s="26" t="s">
        <v>46</v>
      </c>
    </row>
    <row r="970" spans="1:8" x14ac:dyDescent="0.25">
      <c r="A970" s="2" t="s">
        <v>46</v>
      </c>
      <c r="B970" s="3" t="s">
        <v>46</v>
      </c>
      <c r="C970" s="3" t="s">
        <v>46</v>
      </c>
      <c r="D970" s="55" t="s">
        <v>2848</v>
      </c>
      <c r="E970" s="171" t="s">
        <v>46</v>
      </c>
      <c r="F970" s="171"/>
      <c r="G970" s="56">
        <v>3.8</v>
      </c>
      <c r="H970" s="26" t="s">
        <v>46</v>
      </c>
    </row>
    <row r="971" spans="1:8" x14ac:dyDescent="0.25">
      <c r="A971" s="2" t="s">
        <v>1755</v>
      </c>
      <c r="B971" s="3" t="s">
        <v>46</v>
      </c>
      <c r="C971" s="3" t="s">
        <v>1759</v>
      </c>
      <c r="D971" s="94" t="s">
        <v>1762</v>
      </c>
      <c r="E971" s="94"/>
      <c r="F971" s="3" t="s">
        <v>93</v>
      </c>
      <c r="G971" s="25">
        <v>234.2</v>
      </c>
      <c r="H971" s="45">
        <v>0</v>
      </c>
    </row>
    <row r="972" spans="1:8" x14ac:dyDescent="0.25">
      <c r="A972" s="54"/>
      <c r="D972" s="55" t="s">
        <v>2844</v>
      </c>
      <c r="E972" s="171" t="s">
        <v>46</v>
      </c>
      <c r="F972" s="171"/>
      <c r="G972" s="56">
        <v>234.2</v>
      </c>
      <c r="H972" s="57"/>
    </row>
    <row r="973" spans="1:8" x14ac:dyDescent="0.25">
      <c r="A973" s="2" t="s">
        <v>1758</v>
      </c>
      <c r="B973" s="3" t="s">
        <v>46</v>
      </c>
      <c r="C973" s="3" t="s">
        <v>1764</v>
      </c>
      <c r="D973" s="94" t="s">
        <v>1765</v>
      </c>
      <c r="E973" s="94"/>
      <c r="F973" s="3" t="s">
        <v>93</v>
      </c>
      <c r="G973" s="25">
        <v>427.92899999999997</v>
      </c>
      <c r="H973" s="45">
        <v>0</v>
      </c>
    </row>
    <row r="974" spans="1:8" x14ac:dyDescent="0.25">
      <c r="A974" s="54"/>
      <c r="D974" s="55" t="s">
        <v>2849</v>
      </c>
      <c r="E974" s="171" t="s">
        <v>46</v>
      </c>
      <c r="F974" s="171"/>
      <c r="G974" s="56">
        <v>284.57799999999997</v>
      </c>
      <c r="H974" s="57"/>
    </row>
    <row r="975" spans="1:8" x14ac:dyDescent="0.25">
      <c r="A975" s="2" t="s">
        <v>46</v>
      </c>
      <c r="B975" s="3" t="s">
        <v>46</v>
      </c>
      <c r="C975" s="3" t="s">
        <v>46</v>
      </c>
      <c r="D975" s="55" t="s">
        <v>2850</v>
      </c>
      <c r="E975" s="171" t="s">
        <v>46</v>
      </c>
      <c r="F975" s="171"/>
      <c r="G975" s="56">
        <v>143.351</v>
      </c>
      <c r="H975" s="26" t="s">
        <v>46</v>
      </c>
    </row>
    <row r="976" spans="1:8" x14ac:dyDescent="0.25">
      <c r="A976" s="2" t="s">
        <v>1761</v>
      </c>
      <c r="B976" s="3" t="s">
        <v>46</v>
      </c>
      <c r="C976" s="3" t="s">
        <v>1767</v>
      </c>
      <c r="D976" s="94" t="s">
        <v>1768</v>
      </c>
      <c r="E976" s="94"/>
      <c r="F976" s="3" t="s">
        <v>93</v>
      </c>
      <c r="G976" s="25">
        <v>427.92899999999997</v>
      </c>
      <c r="H976" s="45">
        <v>0</v>
      </c>
    </row>
    <row r="977" spans="1:8" x14ac:dyDescent="0.25">
      <c r="A977" s="54"/>
      <c r="D977" s="55" t="s">
        <v>2849</v>
      </c>
      <c r="E977" s="171" t="s">
        <v>46</v>
      </c>
      <c r="F977" s="171"/>
      <c r="G977" s="56">
        <v>284.57799999999997</v>
      </c>
      <c r="H977" s="57"/>
    </row>
    <row r="978" spans="1:8" x14ac:dyDescent="0.25">
      <c r="A978" s="2" t="s">
        <v>46</v>
      </c>
      <c r="B978" s="3" t="s">
        <v>46</v>
      </c>
      <c r="C978" s="3" t="s">
        <v>46</v>
      </c>
      <c r="D978" s="55" t="s">
        <v>2850</v>
      </c>
      <c r="E978" s="171" t="s">
        <v>46</v>
      </c>
      <c r="F978" s="171"/>
      <c r="G978" s="56">
        <v>143.351</v>
      </c>
      <c r="H978" s="26" t="s">
        <v>46</v>
      </c>
    </row>
    <row r="979" spans="1:8" x14ac:dyDescent="0.25">
      <c r="A979" s="2" t="s">
        <v>1763</v>
      </c>
      <c r="B979" s="3" t="s">
        <v>46</v>
      </c>
      <c r="C979" s="3" t="s">
        <v>1770</v>
      </c>
      <c r="D979" s="94" t="s">
        <v>1771</v>
      </c>
      <c r="E979" s="94"/>
      <c r="F979" s="3" t="s">
        <v>93</v>
      </c>
      <c r="G979" s="25">
        <v>53.024999999999999</v>
      </c>
      <c r="H979" s="45">
        <v>0</v>
      </c>
    </row>
    <row r="980" spans="1:8" x14ac:dyDescent="0.25">
      <c r="A980" s="54"/>
      <c r="D980" s="55" t="s">
        <v>2851</v>
      </c>
      <c r="E980" s="171" t="s">
        <v>46</v>
      </c>
      <c r="F980" s="171"/>
      <c r="G980" s="56">
        <v>53.024999999999999</v>
      </c>
      <c r="H980" s="57"/>
    </row>
    <row r="981" spans="1:8" x14ac:dyDescent="0.25">
      <c r="A981" s="2" t="s">
        <v>1766</v>
      </c>
      <c r="B981" s="3" t="s">
        <v>46</v>
      </c>
      <c r="C981" s="3" t="s">
        <v>1770</v>
      </c>
      <c r="D981" s="94" t="s">
        <v>1773</v>
      </c>
      <c r="E981" s="94"/>
      <c r="F981" s="3" t="s">
        <v>93</v>
      </c>
      <c r="G981" s="25">
        <v>234.2</v>
      </c>
      <c r="H981" s="45">
        <v>0</v>
      </c>
    </row>
    <row r="982" spans="1:8" x14ac:dyDescent="0.25">
      <c r="A982" s="54"/>
      <c r="D982" s="55" t="s">
        <v>2844</v>
      </c>
      <c r="E982" s="171" t="s">
        <v>46</v>
      </c>
      <c r="F982" s="171"/>
      <c r="G982" s="56">
        <v>234.2</v>
      </c>
      <c r="H982" s="57"/>
    </row>
    <row r="983" spans="1:8" x14ac:dyDescent="0.25">
      <c r="A983" s="2" t="s">
        <v>1769</v>
      </c>
      <c r="B983" s="3" t="s">
        <v>46</v>
      </c>
      <c r="C983" s="3" t="s">
        <v>1775</v>
      </c>
      <c r="D983" s="94" t="s">
        <v>1776</v>
      </c>
      <c r="E983" s="94"/>
      <c r="F983" s="3" t="s">
        <v>93</v>
      </c>
      <c r="G983" s="25">
        <v>234.2</v>
      </c>
      <c r="H983" s="45">
        <v>0</v>
      </c>
    </row>
    <row r="984" spans="1:8" x14ac:dyDescent="0.25">
      <c r="A984" s="54"/>
      <c r="D984" s="55" t="s">
        <v>2844</v>
      </c>
      <c r="E984" s="171" t="s">
        <v>46</v>
      </c>
      <c r="F984" s="171"/>
      <c r="G984" s="56">
        <v>234.2</v>
      </c>
      <c r="H984" s="57"/>
    </row>
    <row r="985" spans="1:8" x14ac:dyDescent="0.25">
      <c r="A985" s="58" t="s">
        <v>46</v>
      </c>
      <c r="B985" s="29" t="s">
        <v>46</v>
      </c>
      <c r="C985" s="29" t="s">
        <v>1777</v>
      </c>
      <c r="D985" s="151" t="s">
        <v>1778</v>
      </c>
      <c r="E985" s="151"/>
      <c r="F985" s="29" t="s">
        <v>46</v>
      </c>
      <c r="G985" s="11" t="s">
        <v>46</v>
      </c>
      <c r="H985" s="31" t="s">
        <v>46</v>
      </c>
    </row>
    <row r="986" spans="1:8" x14ac:dyDescent="0.25">
      <c r="A986" s="2" t="s">
        <v>1772</v>
      </c>
      <c r="B986" s="3" t="s">
        <v>46</v>
      </c>
      <c r="C986" s="3" t="s">
        <v>1780</v>
      </c>
      <c r="D986" s="94" t="s">
        <v>1781</v>
      </c>
      <c r="E986" s="94"/>
      <c r="F986" s="3" t="s">
        <v>93</v>
      </c>
      <c r="G986" s="25">
        <v>1043.1110000000001</v>
      </c>
      <c r="H986" s="45">
        <v>0</v>
      </c>
    </row>
    <row r="987" spans="1:8" x14ac:dyDescent="0.25">
      <c r="A987" s="54"/>
      <c r="D987" s="55" t="s">
        <v>2753</v>
      </c>
      <c r="E987" s="171" t="s">
        <v>46</v>
      </c>
      <c r="F987" s="171"/>
      <c r="G987" s="56">
        <v>45.552</v>
      </c>
      <c r="H987" s="57"/>
    </row>
    <row r="988" spans="1:8" x14ac:dyDescent="0.25">
      <c r="A988" s="2" t="s">
        <v>46</v>
      </c>
      <c r="B988" s="3" t="s">
        <v>46</v>
      </c>
      <c r="C988" s="3" t="s">
        <v>46</v>
      </c>
      <c r="D988" s="55" t="s">
        <v>2755</v>
      </c>
      <c r="E988" s="171" t="s">
        <v>46</v>
      </c>
      <c r="F988" s="171"/>
      <c r="G988" s="56">
        <v>886.452</v>
      </c>
      <c r="H988" s="26" t="s">
        <v>46</v>
      </c>
    </row>
    <row r="989" spans="1:8" x14ac:dyDescent="0.25">
      <c r="A989" s="2" t="s">
        <v>46</v>
      </c>
      <c r="B989" s="3" t="s">
        <v>46</v>
      </c>
      <c r="C989" s="3" t="s">
        <v>46</v>
      </c>
      <c r="D989" s="55" t="s">
        <v>2674</v>
      </c>
      <c r="E989" s="171" t="s">
        <v>46</v>
      </c>
      <c r="F989" s="171"/>
      <c r="G989" s="56">
        <v>111.107</v>
      </c>
      <c r="H989" s="26" t="s">
        <v>46</v>
      </c>
    </row>
    <row r="990" spans="1:8" x14ac:dyDescent="0.25">
      <c r="A990" s="2" t="s">
        <v>1774</v>
      </c>
      <c r="B990" s="3" t="s">
        <v>46</v>
      </c>
      <c r="C990" s="3" t="s">
        <v>1784</v>
      </c>
      <c r="D990" s="94" t="s">
        <v>1785</v>
      </c>
      <c r="E990" s="94"/>
      <c r="F990" s="3" t="s">
        <v>93</v>
      </c>
      <c r="G990" s="25">
        <v>1005.3339999999999</v>
      </c>
      <c r="H990" s="45">
        <v>0</v>
      </c>
    </row>
    <row r="991" spans="1:8" x14ac:dyDescent="0.25">
      <c r="A991" s="54"/>
      <c r="D991" s="55" t="s">
        <v>2852</v>
      </c>
      <c r="E991" s="171" t="s">
        <v>46</v>
      </c>
      <c r="F991" s="171"/>
      <c r="G991" s="56">
        <v>901.947</v>
      </c>
      <c r="H991" s="57"/>
    </row>
    <row r="992" spans="1:8" x14ac:dyDescent="0.25">
      <c r="A992" s="2" t="s">
        <v>46</v>
      </c>
      <c r="B992" s="3" t="s">
        <v>46</v>
      </c>
      <c r="C992" s="3" t="s">
        <v>46</v>
      </c>
      <c r="D992" s="55" t="s">
        <v>2853</v>
      </c>
      <c r="E992" s="171" t="s">
        <v>46</v>
      </c>
      <c r="F992" s="171"/>
      <c r="G992" s="56">
        <v>103.387</v>
      </c>
      <c r="H992" s="26" t="s">
        <v>46</v>
      </c>
    </row>
    <row r="993" spans="1:8" x14ac:dyDescent="0.25">
      <c r="A993" s="2" t="s">
        <v>1779</v>
      </c>
      <c r="B993" s="3" t="s">
        <v>46</v>
      </c>
      <c r="C993" s="3" t="s">
        <v>1787</v>
      </c>
      <c r="D993" s="94" t="s">
        <v>1788</v>
      </c>
      <c r="E993" s="94"/>
      <c r="F993" s="3" t="s">
        <v>93</v>
      </c>
      <c r="G993" s="25">
        <v>1005.3339999999999</v>
      </c>
      <c r="H993" s="45">
        <v>0</v>
      </c>
    </row>
    <row r="994" spans="1:8" x14ac:dyDescent="0.25">
      <c r="A994" s="54"/>
      <c r="D994" s="55" t="s">
        <v>2852</v>
      </c>
      <c r="E994" s="171" t="s">
        <v>46</v>
      </c>
      <c r="F994" s="171"/>
      <c r="G994" s="56">
        <v>901.947</v>
      </c>
      <c r="H994" s="57"/>
    </row>
    <row r="995" spans="1:8" x14ac:dyDescent="0.25">
      <c r="A995" s="2" t="s">
        <v>46</v>
      </c>
      <c r="B995" s="3" t="s">
        <v>46</v>
      </c>
      <c r="C995" s="3" t="s">
        <v>46</v>
      </c>
      <c r="D995" s="55" t="s">
        <v>2853</v>
      </c>
      <c r="E995" s="171" t="s">
        <v>46</v>
      </c>
      <c r="F995" s="171"/>
      <c r="G995" s="56">
        <v>103.387</v>
      </c>
      <c r="H995" s="26" t="s">
        <v>46</v>
      </c>
    </row>
    <row r="996" spans="1:8" x14ac:dyDescent="0.25">
      <c r="A996" s="2" t="s">
        <v>1783</v>
      </c>
      <c r="B996" s="3" t="s">
        <v>46</v>
      </c>
      <c r="C996" s="3" t="s">
        <v>1790</v>
      </c>
      <c r="D996" s="94" t="s">
        <v>1791</v>
      </c>
      <c r="E996" s="94"/>
      <c r="F996" s="3" t="s">
        <v>93</v>
      </c>
      <c r="G996" s="25">
        <v>626.54999999999995</v>
      </c>
      <c r="H996" s="45">
        <v>0</v>
      </c>
    </row>
    <row r="997" spans="1:8" x14ac:dyDescent="0.25">
      <c r="A997" s="54"/>
      <c r="D997" s="55" t="s">
        <v>2854</v>
      </c>
      <c r="E997" s="171" t="s">
        <v>46</v>
      </c>
      <c r="F997" s="171"/>
      <c r="G997" s="56">
        <v>509.77</v>
      </c>
      <c r="H997" s="57"/>
    </row>
    <row r="998" spans="1:8" x14ac:dyDescent="0.25">
      <c r="A998" s="2" t="s">
        <v>46</v>
      </c>
      <c r="B998" s="3" t="s">
        <v>46</v>
      </c>
      <c r="C998" s="3" t="s">
        <v>46</v>
      </c>
      <c r="D998" s="55" t="s">
        <v>2855</v>
      </c>
      <c r="E998" s="171" t="s">
        <v>46</v>
      </c>
      <c r="F998" s="171"/>
      <c r="G998" s="56">
        <v>116.78</v>
      </c>
      <c r="H998" s="26" t="s">
        <v>46</v>
      </c>
    </row>
    <row r="999" spans="1:8" x14ac:dyDescent="0.25">
      <c r="A999" s="2" t="s">
        <v>1786</v>
      </c>
      <c r="B999" s="3" t="s">
        <v>46</v>
      </c>
      <c r="C999" s="3" t="s">
        <v>1793</v>
      </c>
      <c r="D999" s="94" t="s">
        <v>1794</v>
      </c>
      <c r="E999" s="94"/>
      <c r="F999" s="3" t="s">
        <v>93</v>
      </c>
      <c r="G999" s="25">
        <v>1005.3339999999999</v>
      </c>
      <c r="H999" s="45">
        <v>0</v>
      </c>
    </row>
    <row r="1000" spans="1:8" x14ac:dyDescent="0.25">
      <c r="A1000" s="54"/>
      <c r="D1000" s="55" t="s">
        <v>2852</v>
      </c>
      <c r="E1000" s="171" t="s">
        <v>46</v>
      </c>
      <c r="F1000" s="171"/>
      <c r="G1000" s="56">
        <v>901.947</v>
      </c>
      <c r="H1000" s="57"/>
    </row>
    <row r="1001" spans="1:8" x14ac:dyDescent="0.25">
      <c r="A1001" s="2" t="s">
        <v>46</v>
      </c>
      <c r="B1001" s="3" t="s">
        <v>46</v>
      </c>
      <c r="C1001" s="3" t="s">
        <v>46</v>
      </c>
      <c r="D1001" s="55" t="s">
        <v>2853</v>
      </c>
      <c r="E1001" s="171" t="s">
        <v>46</v>
      </c>
      <c r="F1001" s="171"/>
      <c r="G1001" s="56">
        <v>103.387</v>
      </c>
      <c r="H1001" s="26" t="s">
        <v>46</v>
      </c>
    </row>
    <row r="1002" spans="1:8" x14ac:dyDescent="0.25">
      <c r="A1002" s="2" t="s">
        <v>1789</v>
      </c>
      <c r="B1002" s="3" t="s">
        <v>46</v>
      </c>
      <c r="C1002" s="3" t="s">
        <v>1793</v>
      </c>
      <c r="D1002" s="94" t="s">
        <v>1796</v>
      </c>
      <c r="E1002" s="94"/>
      <c r="F1002" s="3" t="s">
        <v>93</v>
      </c>
      <c r="G1002" s="25">
        <v>305.786</v>
      </c>
      <c r="H1002" s="45">
        <v>0</v>
      </c>
    </row>
    <row r="1003" spans="1:8" x14ac:dyDescent="0.25">
      <c r="A1003" s="54"/>
      <c r="D1003" s="55" t="s">
        <v>2856</v>
      </c>
      <c r="E1003" s="171" t="s">
        <v>46</v>
      </c>
      <c r="F1003" s="171"/>
      <c r="G1003" s="56">
        <v>245.863</v>
      </c>
      <c r="H1003" s="57"/>
    </row>
    <row r="1004" spans="1:8" x14ac:dyDescent="0.25">
      <c r="A1004" s="2" t="s">
        <v>46</v>
      </c>
      <c r="B1004" s="3" t="s">
        <v>46</v>
      </c>
      <c r="C1004" s="3" t="s">
        <v>46</v>
      </c>
      <c r="D1004" s="55" t="s">
        <v>2857</v>
      </c>
      <c r="E1004" s="171" t="s">
        <v>46</v>
      </c>
      <c r="F1004" s="171"/>
      <c r="G1004" s="56">
        <v>59.923000000000002</v>
      </c>
      <c r="H1004" s="26" t="s">
        <v>46</v>
      </c>
    </row>
    <row r="1005" spans="1:8" x14ac:dyDescent="0.25">
      <c r="A1005" s="2" t="s">
        <v>1792</v>
      </c>
      <c r="B1005" s="3" t="s">
        <v>46</v>
      </c>
      <c r="C1005" s="3" t="s">
        <v>1793</v>
      </c>
      <c r="D1005" s="94" t="s">
        <v>1798</v>
      </c>
      <c r="E1005" s="94"/>
      <c r="F1005" s="3" t="s">
        <v>93</v>
      </c>
      <c r="G1005" s="25">
        <v>609.66</v>
      </c>
      <c r="H1005" s="45">
        <v>0</v>
      </c>
    </row>
    <row r="1006" spans="1:8" x14ac:dyDescent="0.25">
      <c r="A1006" s="54"/>
      <c r="D1006" s="55" t="s">
        <v>2706</v>
      </c>
      <c r="E1006" s="171" t="s">
        <v>46</v>
      </c>
      <c r="F1006" s="171"/>
      <c r="G1006" s="56">
        <v>77.89</v>
      </c>
      <c r="H1006" s="57"/>
    </row>
    <row r="1007" spans="1:8" x14ac:dyDescent="0.25">
      <c r="A1007" s="2" t="s">
        <v>46</v>
      </c>
      <c r="B1007" s="3" t="s">
        <v>46</v>
      </c>
      <c r="C1007" s="3" t="s">
        <v>46</v>
      </c>
      <c r="D1007" s="55" t="s">
        <v>2858</v>
      </c>
      <c r="E1007" s="171" t="s">
        <v>46</v>
      </c>
      <c r="F1007" s="171"/>
      <c r="G1007" s="56">
        <v>358.18</v>
      </c>
      <c r="H1007" s="26" t="s">
        <v>46</v>
      </c>
    </row>
    <row r="1008" spans="1:8" x14ac:dyDescent="0.25">
      <c r="A1008" s="2" t="s">
        <v>46</v>
      </c>
      <c r="B1008" s="3" t="s">
        <v>46</v>
      </c>
      <c r="C1008" s="3" t="s">
        <v>46</v>
      </c>
      <c r="D1008" s="55" t="s">
        <v>2720</v>
      </c>
      <c r="E1008" s="171" t="s">
        <v>46</v>
      </c>
      <c r="F1008" s="171"/>
      <c r="G1008" s="56">
        <v>56.81</v>
      </c>
      <c r="H1008" s="26" t="s">
        <v>46</v>
      </c>
    </row>
    <row r="1009" spans="1:8" x14ac:dyDescent="0.25">
      <c r="A1009" s="2" t="s">
        <v>46</v>
      </c>
      <c r="B1009" s="3" t="s">
        <v>46</v>
      </c>
      <c r="C1009" s="3" t="s">
        <v>46</v>
      </c>
      <c r="D1009" s="55" t="s">
        <v>2855</v>
      </c>
      <c r="E1009" s="171" t="s">
        <v>46</v>
      </c>
      <c r="F1009" s="171"/>
      <c r="G1009" s="56">
        <v>116.78</v>
      </c>
      <c r="H1009" s="26" t="s">
        <v>46</v>
      </c>
    </row>
    <row r="1010" spans="1:8" x14ac:dyDescent="0.25">
      <c r="A1010" s="2" t="s">
        <v>1795</v>
      </c>
      <c r="B1010" s="3" t="s">
        <v>46</v>
      </c>
      <c r="C1010" s="3" t="s">
        <v>1800</v>
      </c>
      <c r="D1010" s="94" t="s">
        <v>1801</v>
      </c>
      <c r="E1010" s="94"/>
      <c r="F1010" s="3" t="s">
        <v>93</v>
      </c>
      <c r="G1010" s="25">
        <v>1005.3339999999999</v>
      </c>
      <c r="H1010" s="45">
        <v>0</v>
      </c>
    </row>
    <row r="1011" spans="1:8" x14ac:dyDescent="0.25">
      <c r="A1011" s="54"/>
      <c r="D1011" s="55" t="s">
        <v>2859</v>
      </c>
      <c r="E1011" s="171" t="s">
        <v>46</v>
      </c>
      <c r="F1011" s="171"/>
      <c r="G1011" s="56">
        <v>901.947</v>
      </c>
      <c r="H1011" s="57"/>
    </row>
    <row r="1012" spans="1:8" x14ac:dyDescent="0.25">
      <c r="A1012" s="2" t="s">
        <v>46</v>
      </c>
      <c r="B1012" s="3" t="s">
        <v>46</v>
      </c>
      <c r="C1012" s="3" t="s">
        <v>46</v>
      </c>
      <c r="D1012" s="55" t="s">
        <v>2853</v>
      </c>
      <c r="E1012" s="171" t="s">
        <v>46</v>
      </c>
      <c r="F1012" s="171"/>
      <c r="G1012" s="56">
        <v>103.387</v>
      </c>
      <c r="H1012" s="26" t="s">
        <v>46</v>
      </c>
    </row>
    <row r="1013" spans="1:8" x14ac:dyDescent="0.25">
      <c r="A1013" s="2" t="s">
        <v>1797</v>
      </c>
      <c r="B1013" s="3" t="s">
        <v>46</v>
      </c>
      <c r="C1013" s="3" t="s">
        <v>1800</v>
      </c>
      <c r="D1013" s="94" t="s">
        <v>1803</v>
      </c>
      <c r="E1013" s="94"/>
      <c r="F1013" s="3" t="s">
        <v>93</v>
      </c>
      <c r="G1013" s="25">
        <v>305.786</v>
      </c>
      <c r="H1013" s="45">
        <v>0</v>
      </c>
    </row>
    <row r="1014" spans="1:8" x14ac:dyDescent="0.25">
      <c r="A1014" s="54"/>
      <c r="D1014" s="55" t="s">
        <v>2860</v>
      </c>
      <c r="E1014" s="171" t="s">
        <v>46</v>
      </c>
      <c r="F1014" s="171"/>
      <c r="G1014" s="56">
        <v>305.786</v>
      </c>
      <c r="H1014" s="57"/>
    </row>
    <row r="1015" spans="1:8" x14ac:dyDescent="0.25">
      <c r="A1015" s="2" t="s">
        <v>1799</v>
      </c>
      <c r="B1015" s="3" t="s">
        <v>46</v>
      </c>
      <c r="C1015" s="3" t="s">
        <v>1800</v>
      </c>
      <c r="D1015" s="94" t="s">
        <v>1805</v>
      </c>
      <c r="E1015" s="94"/>
      <c r="F1015" s="3" t="s">
        <v>93</v>
      </c>
      <c r="G1015" s="25">
        <v>609.66</v>
      </c>
      <c r="H1015" s="45">
        <v>0</v>
      </c>
    </row>
    <row r="1016" spans="1:8" x14ac:dyDescent="0.25">
      <c r="A1016" s="54"/>
      <c r="D1016" s="55" t="s">
        <v>2861</v>
      </c>
      <c r="E1016" s="171" t="s">
        <v>46</v>
      </c>
      <c r="F1016" s="171"/>
      <c r="G1016" s="56">
        <v>436.07</v>
      </c>
      <c r="H1016" s="57"/>
    </row>
    <row r="1017" spans="1:8" x14ac:dyDescent="0.25">
      <c r="A1017" s="2" t="s">
        <v>46</v>
      </c>
      <c r="B1017" s="3" t="s">
        <v>46</v>
      </c>
      <c r="C1017" s="3" t="s">
        <v>46</v>
      </c>
      <c r="D1017" s="55" t="s">
        <v>2720</v>
      </c>
      <c r="E1017" s="171" t="s">
        <v>46</v>
      </c>
      <c r="F1017" s="171"/>
      <c r="G1017" s="56">
        <v>56.81</v>
      </c>
      <c r="H1017" s="26" t="s">
        <v>46</v>
      </c>
    </row>
    <row r="1018" spans="1:8" x14ac:dyDescent="0.25">
      <c r="A1018" s="2" t="s">
        <v>46</v>
      </c>
      <c r="B1018" s="3" t="s">
        <v>46</v>
      </c>
      <c r="C1018" s="3" t="s">
        <v>46</v>
      </c>
      <c r="D1018" s="55" t="s">
        <v>2855</v>
      </c>
      <c r="E1018" s="171" t="s">
        <v>46</v>
      </c>
      <c r="F1018" s="171"/>
      <c r="G1018" s="56">
        <v>116.78</v>
      </c>
      <c r="H1018" s="26" t="s">
        <v>46</v>
      </c>
    </row>
    <row r="1019" spans="1:8" x14ac:dyDescent="0.25">
      <c r="A1019" s="2" t="s">
        <v>1802</v>
      </c>
      <c r="B1019" s="3" t="s">
        <v>46</v>
      </c>
      <c r="C1019" s="3" t="s">
        <v>1807</v>
      </c>
      <c r="D1019" s="94" t="s">
        <v>1808</v>
      </c>
      <c r="E1019" s="94"/>
      <c r="F1019" s="3" t="s">
        <v>93</v>
      </c>
      <c r="G1019" s="25">
        <v>1005.3339999999999</v>
      </c>
      <c r="H1019" s="45">
        <v>0</v>
      </c>
    </row>
    <row r="1020" spans="1:8" x14ac:dyDescent="0.25">
      <c r="A1020" s="54"/>
      <c r="D1020" s="55" t="s">
        <v>2859</v>
      </c>
      <c r="E1020" s="171" t="s">
        <v>46</v>
      </c>
      <c r="F1020" s="171"/>
      <c r="G1020" s="56">
        <v>901.947</v>
      </c>
      <c r="H1020" s="57"/>
    </row>
    <row r="1021" spans="1:8" x14ac:dyDescent="0.25">
      <c r="A1021" s="2" t="s">
        <v>46</v>
      </c>
      <c r="B1021" s="3" t="s">
        <v>46</v>
      </c>
      <c r="C1021" s="3" t="s">
        <v>46</v>
      </c>
      <c r="D1021" s="55" t="s">
        <v>2853</v>
      </c>
      <c r="E1021" s="171" t="s">
        <v>46</v>
      </c>
      <c r="F1021" s="171"/>
      <c r="G1021" s="56">
        <v>103.387</v>
      </c>
      <c r="H1021" s="26" t="s">
        <v>46</v>
      </c>
    </row>
    <row r="1022" spans="1:8" x14ac:dyDescent="0.25">
      <c r="A1022" s="58" t="s">
        <v>46</v>
      </c>
      <c r="B1022" s="29" t="s">
        <v>46</v>
      </c>
      <c r="C1022" s="29" t="s">
        <v>1809</v>
      </c>
      <c r="D1022" s="151" t="s">
        <v>1810</v>
      </c>
      <c r="E1022" s="151"/>
      <c r="F1022" s="29" t="s">
        <v>46</v>
      </c>
      <c r="G1022" s="11" t="s">
        <v>46</v>
      </c>
      <c r="H1022" s="31" t="s">
        <v>46</v>
      </c>
    </row>
    <row r="1023" spans="1:8" x14ac:dyDescent="0.25">
      <c r="A1023" s="2" t="s">
        <v>1804</v>
      </c>
      <c r="B1023" s="3" t="s">
        <v>46</v>
      </c>
      <c r="C1023" s="3" t="s">
        <v>1812</v>
      </c>
      <c r="D1023" s="94" t="s">
        <v>1813</v>
      </c>
      <c r="E1023" s="94"/>
      <c r="F1023" s="3" t="s">
        <v>93</v>
      </c>
      <c r="G1023" s="25">
        <v>31.754999999999999</v>
      </c>
      <c r="H1023" s="45">
        <v>0</v>
      </c>
    </row>
    <row r="1024" spans="1:8" x14ac:dyDescent="0.25">
      <c r="A1024" s="54"/>
      <c r="D1024" s="55" t="s">
        <v>2862</v>
      </c>
      <c r="E1024" s="171" t="s">
        <v>46</v>
      </c>
      <c r="F1024" s="171"/>
      <c r="G1024" s="56">
        <v>31.754999999999999</v>
      </c>
      <c r="H1024" s="57"/>
    </row>
    <row r="1025" spans="1:8" x14ac:dyDescent="0.25">
      <c r="A1025" s="2" t="s">
        <v>1806</v>
      </c>
      <c r="B1025" s="3" t="s">
        <v>46</v>
      </c>
      <c r="C1025" s="3" t="s">
        <v>1816</v>
      </c>
      <c r="D1025" s="94" t="s">
        <v>1817</v>
      </c>
      <c r="E1025" s="94"/>
      <c r="F1025" s="3" t="s">
        <v>93</v>
      </c>
      <c r="G1025" s="25">
        <v>20.64</v>
      </c>
      <c r="H1025" s="45">
        <v>0</v>
      </c>
    </row>
    <row r="1026" spans="1:8" x14ac:dyDescent="0.25">
      <c r="A1026" s="54"/>
      <c r="D1026" s="55" t="s">
        <v>2863</v>
      </c>
      <c r="E1026" s="171" t="s">
        <v>46</v>
      </c>
      <c r="F1026" s="171"/>
      <c r="G1026" s="56">
        <v>12</v>
      </c>
      <c r="H1026" s="57"/>
    </row>
    <row r="1027" spans="1:8" x14ac:dyDescent="0.25">
      <c r="A1027" s="2" t="s">
        <v>46</v>
      </c>
      <c r="B1027" s="3" t="s">
        <v>46</v>
      </c>
      <c r="C1027" s="3" t="s">
        <v>46</v>
      </c>
      <c r="D1027" s="55" t="s">
        <v>2864</v>
      </c>
      <c r="E1027" s="171" t="s">
        <v>46</v>
      </c>
      <c r="F1027" s="171"/>
      <c r="G1027" s="56">
        <v>8.64</v>
      </c>
      <c r="H1027" s="26" t="s">
        <v>46</v>
      </c>
    </row>
    <row r="1028" spans="1:8" x14ac:dyDescent="0.25">
      <c r="A1028" s="2" t="s">
        <v>1811</v>
      </c>
      <c r="B1028" s="3" t="s">
        <v>46</v>
      </c>
      <c r="C1028" s="3" t="s">
        <v>1819</v>
      </c>
      <c r="D1028" s="94" t="s">
        <v>1820</v>
      </c>
      <c r="E1028" s="94"/>
      <c r="F1028" s="3" t="s">
        <v>93</v>
      </c>
      <c r="G1028" s="25">
        <v>2.4750000000000001</v>
      </c>
      <c r="H1028" s="45">
        <v>0</v>
      </c>
    </row>
    <row r="1029" spans="1:8" x14ac:dyDescent="0.25">
      <c r="A1029" s="54"/>
      <c r="D1029" s="55" t="s">
        <v>2865</v>
      </c>
      <c r="E1029" s="171" t="s">
        <v>46</v>
      </c>
      <c r="F1029" s="171"/>
      <c r="G1029" s="56">
        <v>2.4750000000000001</v>
      </c>
      <c r="H1029" s="57"/>
    </row>
    <row r="1030" spans="1:8" x14ac:dyDescent="0.25">
      <c r="A1030" s="2" t="s">
        <v>1815</v>
      </c>
      <c r="B1030" s="3" t="s">
        <v>46</v>
      </c>
      <c r="C1030" s="3" t="s">
        <v>1822</v>
      </c>
      <c r="D1030" s="94" t="s">
        <v>1823</v>
      </c>
      <c r="E1030" s="94"/>
      <c r="F1030" s="3" t="s">
        <v>93</v>
      </c>
      <c r="G1030" s="25">
        <v>8.64</v>
      </c>
      <c r="H1030" s="45">
        <v>0</v>
      </c>
    </row>
    <row r="1031" spans="1:8" x14ac:dyDescent="0.25">
      <c r="A1031" s="54"/>
      <c r="D1031" s="55" t="s">
        <v>2866</v>
      </c>
      <c r="E1031" s="171" t="s">
        <v>46</v>
      </c>
      <c r="F1031" s="171"/>
      <c r="G1031" s="56">
        <v>8.64</v>
      </c>
      <c r="H1031" s="57"/>
    </row>
    <row r="1032" spans="1:8" x14ac:dyDescent="0.25">
      <c r="A1032" s="2" t="s">
        <v>1818</v>
      </c>
      <c r="B1032" s="3" t="s">
        <v>46</v>
      </c>
      <c r="C1032" s="3" t="s">
        <v>1825</v>
      </c>
      <c r="D1032" s="94" t="s">
        <v>1826</v>
      </c>
      <c r="E1032" s="94"/>
      <c r="F1032" s="3" t="s">
        <v>93</v>
      </c>
      <c r="G1032" s="25">
        <v>17.28</v>
      </c>
      <c r="H1032" s="45">
        <v>0</v>
      </c>
    </row>
    <row r="1033" spans="1:8" x14ac:dyDescent="0.25">
      <c r="A1033" s="54"/>
      <c r="D1033" s="55" t="s">
        <v>2864</v>
      </c>
      <c r="E1033" s="171" t="s">
        <v>46</v>
      </c>
      <c r="F1033" s="171"/>
      <c r="G1033" s="56">
        <v>8.64</v>
      </c>
      <c r="H1033" s="57"/>
    </row>
    <row r="1034" spans="1:8" x14ac:dyDescent="0.25">
      <c r="A1034" s="2" t="s">
        <v>46</v>
      </c>
      <c r="B1034" s="3" t="s">
        <v>46</v>
      </c>
      <c r="C1034" s="3" t="s">
        <v>46</v>
      </c>
      <c r="D1034" s="55" t="s">
        <v>2866</v>
      </c>
      <c r="E1034" s="171" t="s">
        <v>46</v>
      </c>
      <c r="F1034" s="171"/>
      <c r="G1034" s="56">
        <v>8.64</v>
      </c>
      <c r="H1034" s="26" t="s">
        <v>46</v>
      </c>
    </row>
    <row r="1035" spans="1:8" x14ac:dyDescent="0.25">
      <c r="A1035" s="2" t="s">
        <v>1821</v>
      </c>
      <c r="B1035" s="3" t="s">
        <v>46</v>
      </c>
      <c r="C1035" s="3" t="s">
        <v>1828</v>
      </c>
      <c r="D1035" s="94" t="s">
        <v>1829</v>
      </c>
      <c r="E1035" s="94"/>
      <c r="F1035" s="3" t="s">
        <v>71</v>
      </c>
      <c r="G1035" s="25">
        <v>5.0999999999999997E-2</v>
      </c>
      <c r="H1035" s="45">
        <v>0</v>
      </c>
    </row>
    <row r="1036" spans="1:8" x14ac:dyDescent="0.25">
      <c r="A1036" s="54"/>
      <c r="D1036" s="55" t="s">
        <v>2867</v>
      </c>
      <c r="E1036" s="171" t="s">
        <v>46</v>
      </c>
      <c r="F1036" s="171"/>
      <c r="G1036" s="56">
        <v>5.0999999999999997E-2</v>
      </c>
      <c r="H1036" s="57"/>
    </row>
    <row r="1037" spans="1:8" x14ac:dyDescent="0.25">
      <c r="A1037" s="58" t="s">
        <v>46</v>
      </c>
      <c r="B1037" s="29" t="s">
        <v>46</v>
      </c>
      <c r="C1037" s="29" t="s">
        <v>1830</v>
      </c>
      <c r="D1037" s="151" t="s">
        <v>1831</v>
      </c>
      <c r="E1037" s="151"/>
      <c r="F1037" s="29" t="s">
        <v>46</v>
      </c>
      <c r="G1037" s="11" t="s">
        <v>46</v>
      </c>
      <c r="H1037" s="31" t="s">
        <v>46</v>
      </c>
    </row>
    <row r="1038" spans="1:8" x14ac:dyDescent="0.25">
      <c r="A1038" s="2" t="s">
        <v>1824</v>
      </c>
      <c r="B1038" s="3" t="s">
        <v>46</v>
      </c>
      <c r="C1038" s="3" t="s">
        <v>1833</v>
      </c>
      <c r="D1038" s="94" t="s">
        <v>1834</v>
      </c>
      <c r="E1038" s="94"/>
      <c r="F1038" s="3" t="s">
        <v>52</v>
      </c>
      <c r="G1038" s="25">
        <v>1</v>
      </c>
      <c r="H1038" s="45">
        <v>0</v>
      </c>
    </row>
    <row r="1039" spans="1:8" x14ac:dyDescent="0.25">
      <c r="A1039" s="2" t="s">
        <v>1827</v>
      </c>
      <c r="B1039" s="3" t="s">
        <v>46</v>
      </c>
      <c r="C1039" s="3" t="s">
        <v>1837</v>
      </c>
      <c r="D1039" s="94" t="s">
        <v>1838</v>
      </c>
      <c r="E1039" s="94"/>
      <c r="F1039" s="3" t="s">
        <v>52</v>
      </c>
      <c r="G1039" s="25">
        <v>2</v>
      </c>
      <c r="H1039" s="45">
        <v>0</v>
      </c>
    </row>
    <row r="1040" spans="1:8" x14ac:dyDescent="0.25">
      <c r="A1040" s="2" t="s">
        <v>1832</v>
      </c>
      <c r="B1040" s="3" t="s">
        <v>46</v>
      </c>
      <c r="C1040" s="3" t="s">
        <v>1840</v>
      </c>
      <c r="D1040" s="94" t="s">
        <v>1841</v>
      </c>
      <c r="E1040" s="94"/>
      <c r="F1040" s="3" t="s">
        <v>52</v>
      </c>
      <c r="G1040" s="25">
        <v>1</v>
      </c>
      <c r="H1040" s="45">
        <v>0</v>
      </c>
    </row>
    <row r="1041" spans="1:8" x14ac:dyDescent="0.25">
      <c r="A1041" s="2" t="s">
        <v>1836</v>
      </c>
      <c r="B1041" s="3" t="s">
        <v>46</v>
      </c>
      <c r="C1041" s="3" t="s">
        <v>1843</v>
      </c>
      <c r="D1041" s="94" t="s">
        <v>1844</v>
      </c>
      <c r="E1041" s="94"/>
      <c r="F1041" s="3" t="s">
        <v>52</v>
      </c>
      <c r="G1041" s="25">
        <v>1</v>
      </c>
      <c r="H1041" s="45">
        <v>0</v>
      </c>
    </row>
    <row r="1042" spans="1:8" x14ac:dyDescent="0.25">
      <c r="A1042" s="2" t="s">
        <v>1839</v>
      </c>
      <c r="B1042" s="3" t="s">
        <v>46</v>
      </c>
      <c r="C1042" s="3" t="s">
        <v>1846</v>
      </c>
      <c r="D1042" s="94" t="s">
        <v>1847</v>
      </c>
      <c r="E1042" s="94"/>
      <c r="F1042" s="3" t="s">
        <v>52</v>
      </c>
      <c r="G1042" s="25">
        <v>2</v>
      </c>
      <c r="H1042" s="45">
        <v>0</v>
      </c>
    </row>
    <row r="1043" spans="1:8" x14ac:dyDescent="0.25">
      <c r="A1043" s="2" t="s">
        <v>1842</v>
      </c>
      <c r="B1043" s="3" t="s">
        <v>46</v>
      </c>
      <c r="C1043" s="3" t="s">
        <v>1849</v>
      </c>
      <c r="D1043" s="94" t="s">
        <v>1850</v>
      </c>
      <c r="E1043" s="94"/>
      <c r="F1043" s="3" t="s">
        <v>52</v>
      </c>
      <c r="G1043" s="25">
        <v>10</v>
      </c>
      <c r="H1043" s="45">
        <v>0</v>
      </c>
    </row>
    <row r="1044" spans="1:8" x14ac:dyDescent="0.25">
      <c r="A1044" s="2" t="s">
        <v>1845</v>
      </c>
      <c r="B1044" s="3" t="s">
        <v>46</v>
      </c>
      <c r="C1044" s="3" t="s">
        <v>1852</v>
      </c>
      <c r="D1044" s="94" t="s">
        <v>1853</v>
      </c>
      <c r="E1044" s="94"/>
      <c r="F1044" s="3" t="s">
        <v>52</v>
      </c>
      <c r="G1044" s="25">
        <v>374</v>
      </c>
      <c r="H1044" s="45">
        <v>0</v>
      </c>
    </row>
    <row r="1045" spans="1:8" x14ac:dyDescent="0.25">
      <c r="A1045" s="2" t="s">
        <v>1848</v>
      </c>
      <c r="B1045" s="3" t="s">
        <v>46</v>
      </c>
      <c r="C1045" s="3" t="s">
        <v>1855</v>
      </c>
      <c r="D1045" s="94" t="s">
        <v>1856</v>
      </c>
      <c r="E1045" s="94"/>
      <c r="F1045" s="3" t="s">
        <v>52</v>
      </c>
      <c r="G1045" s="25">
        <v>6</v>
      </c>
      <c r="H1045" s="45">
        <v>0</v>
      </c>
    </row>
    <row r="1046" spans="1:8" x14ac:dyDescent="0.25">
      <c r="A1046" s="2" t="s">
        <v>1851</v>
      </c>
      <c r="B1046" s="3" t="s">
        <v>46</v>
      </c>
      <c r="C1046" s="3" t="s">
        <v>1858</v>
      </c>
      <c r="D1046" s="94" t="s">
        <v>1859</v>
      </c>
      <c r="E1046" s="94"/>
      <c r="F1046" s="3" t="s">
        <v>52</v>
      </c>
      <c r="G1046" s="25">
        <v>6</v>
      </c>
      <c r="H1046" s="45">
        <v>0</v>
      </c>
    </row>
    <row r="1047" spans="1:8" x14ac:dyDescent="0.25">
      <c r="A1047" s="2" t="s">
        <v>1854</v>
      </c>
      <c r="B1047" s="3" t="s">
        <v>46</v>
      </c>
      <c r="C1047" s="3" t="s">
        <v>1861</v>
      </c>
      <c r="D1047" s="94" t="s">
        <v>1862</v>
      </c>
      <c r="E1047" s="94"/>
      <c r="F1047" s="3" t="s">
        <v>131</v>
      </c>
      <c r="G1047" s="25">
        <v>20</v>
      </c>
      <c r="H1047" s="45">
        <v>0</v>
      </c>
    </row>
    <row r="1048" spans="1:8" x14ac:dyDescent="0.25">
      <c r="A1048" s="2" t="s">
        <v>1857</v>
      </c>
      <c r="B1048" s="3" t="s">
        <v>46</v>
      </c>
      <c r="C1048" s="3" t="s">
        <v>1864</v>
      </c>
      <c r="D1048" s="94" t="s">
        <v>1865</v>
      </c>
      <c r="E1048" s="94"/>
      <c r="F1048" s="3" t="s">
        <v>131</v>
      </c>
      <c r="G1048" s="25">
        <v>20</v>
      </c>
      <c r="H1048" s="45">
        <v>0</v>
      </c>
    </row>
    <row r="1049" spans="1:8" x14ac:dyDescent="0.25">
      <c r="A1049" s="2" t="s">
        <v>1860</v>
      </c>
      <c r="B1049" s="3" t="s">
        <v>46</v>
      </c>
      <c r="C1049" s="3" t="s">
        <v>1867</v>
      </c>
      <c r="D1049" s="94" t="s">
        <v>1868</v>
      </c>
      <c r="E1049" s="94"/>
      <c r="F1049" s="3" t="s">
        <v>131</v>
      </c>
      <c r="G1049" s="25">
        <v>20</v>
      </c>
      <c r="H1049" s="45">
        <v>0</v>
      </c>
    </row>
    <row r="1050" spans="1:8" x14ac:dyDescent="0.25">
      <c r="A1050" s="2" t="s">
        <v>1863</v>
      </c>
      <c r="B1050" s="3" t="s">
        <v>46</v>
      </c>
      <c r="C1050" s="3" t="s">
        <v>1870</v>
      </c>
      <c r="D1050" s="94" t="s">
        <v>1871</v>
      </c>
      <c r="E1050" s="94"/>
      <c r="F1050" s="3" t="s">
        <v>131</v>
      </c>
      <c r="G1050" s="25">
        <v>36</v>
      </c>
      <c r="H1050" s="45">
        <v>0</v>
      </c>
    </row>
    <row r="1051" spans="1:8" x14ac:dyDescent="0.25">
      <c r="A1051" s="2" t="s">
        <v>1866</v>
      </c>
      <c r="B1051" s="3" t="s">
        <v>46</v>
      </c>
      <c r="C1051" s="3" t="s">
        <v>1873</v>
      </c>
      <c r="D1051" s="94" t="s">
        <v>1874</v>
      </c>
      <c r="E1051" s="94"/>
      <c r="F1051" s="3" t="s">
        <v>52</v>
      </c>
      <c r="G1051" s="25">
        <v>180</v>
      </c>
      <c r="H1051" s="45">
        <v>0</v>
      </c>
    </row>
    <row r="1052" spans="1:8" x14ac:dyDescent="0.25">
      <c r="A1052" s="2" t="s">
        <v>1869</v>
      </c>
      <c r="B1052" s="3" t="s">
        <v>46</v>
      </c>
      <c r="C1052" s="3" t="s">
        <v>1876</v>
      </c>
      <c r="D1052" s="94" t="s">
        <v>1877</v>
      </c>
      <c r="E1052" s="94"/>
      <c r="F1052" s="3" t="s">
        <v>131</v>
      </c>
      <c r="G1052" s="25">
        <v>100</v>
      </c>
      <c r="H1052" s="45">
        <v>0</v>
      </c>
    </row>
    <row r="1053" spans="1:8" x14ac:dyDescent="0.25">
      <c r="A1053" s="2" t="s">
        <v>1872</v>
      </c>
      <c r="B1053" s="3" t="s">
        <v>46</v>
      </c>
      <c r="C1053" s="3" t="s">
        <v>1879</v>
      </c>
      <c r="D1053" s="94" t="s">
        <v>1880</v>
      </c>
      <c r="E1053" s="94"/>
      <c r="F1053" s="3" t="s">
        <v>131</v>
      </c>
      <c r="G1053" s="25">
        <v>270</v>
      </c>
      <c r="H1053" s="45">
        <v>0</v>
      </c>
    </row>
    <row r="1054" spans="1:8" x14ac:dyDescent="0.25">
      <c r="A1054" s="2" t="s">
        <v>1875</v>
      </c>
      <c r="B1054" s="3" t="s">
        <v>46</v>
      </c>
      <c r="C1054" s="3" t="s">
        <v>1882</v>
      </c>
      <c r="D1054" s="94" t="s">
        <v>1883</v>
      </c>
      <c r="E1054" s="94"/>
      <c r="F1054" s="3" t="s">
        <v>131</v>
      </c>
      <c r="G1054" s="25">
        <v>90</v>
      </c>
      <c r="H1054" s="45">
        <v>0</v>
      </c>
    </row>
    <row r="1055" spans="1:8" x14ac:dyDescent="0.25">
      <c r="A1055" s="2" t="s">
        <v>1878</v>
      </c>
      <c r="B1055" s="3" t="s">
        <v>46</v>
      </c>
      <c r="C1055" s="3" t="s">
        <v>1885</v>
      </c>
      <c r="D1055" s="94" t="s">
        <v>1886</v>
      </c>
      <c r="E1055" s="94"/>
      <c r="F1055" s="3" t="s">
        <v>131</v>
      </c>
      <c r="G1055" s="25">
        <v>190</v>
      </c>
      <c r="H1055" s="45">
        <v>0</v>
      </c>
    </row>
    <row r="1056" spans="1:8" x14ac:dyDescent="0.25">
      <c r="A1056" s="2" t="s">
        <v>1881</v>
      </c>
      <c r="B1056" s="3" t="s">
        <v>46</v>
      </c>
      <c r="C1056" s="3" t="s">
        <v>1891</v>
      </c>
      <c r="D1056" s="94" t="s">
        <v>1892</v>
      </c>
      <c r="E1056" s="94"/>
      <c r="F1056" s="3" t="s">
        <v>131</v>
      </c>
      <c r="G1056" s="25">
        <v>160</v>
      </c>
      <c r="H1056" s="45">
        <v>0</v>
      </c>
    </row>
    <row r="1057" spans="1:8" x14ac:dyDescent="0.25">
      <c r="A1057" s="2" t="s">
        <v>1884</v>
      </c>
      <c r="B1057" s="3" t="s">
        <v>46</v>
      </c>
      <c r="C1057" s="3" t="s">
        <v>1894</v>
      </c>
      <c r="D1057" s="94" t="s">
        <v>1895</v>
      </c>
      <c r="E1057" s="94"/>
      <c r="F1057" s="3" t="s">
        <v>131</v>
      </c>
      <c r="G1057" s="25">
        <v>1350</v>
      </c>
      <c r="H1057" s="45">
        <v>0</v>
      </c>
    </row>
    <row r="1058" spans="1:8" x14ac:dyDescent="0.25">
      <c r="A1058" s="2" t="s">
        <v>1887</v>
      </c>
      <c r="B1058" s="3" t="s">
        <v>46</v>
      </c>
      <c r="C1058" s="3" t="s">
        <v>1897</v>
      </c>
      <c r="D1058" s="94" t="s">
        <v>1898</v>
      </c>
      <c r="E1058" s="94"/>
      <c r="F1058" s="3" t="s">
        <v>131</v>
      </c>
      <c r="G1058" s="25">
        <v>200</v>
      </c>
      <c r="H1058" s="45">
        <v>0</v>
      </c>
    </row>
    <row r="1059" spans="1:8" x14ac:dyDescent="0.25">
      <c r="A1059" s="2" t="s">
        <v>1890</v>
      </c>
      <c r="B1059" s="3" t="s">
        <v>46</v>
      </c>
      <c r="C1059" s="3" t="s">
        <v>1900</v>
      </c>
      <c r="D1059" s="94" t="s">
        <v>1901</v>
      </c>
      <c r="E1059" s="94"/>
      <c r="F1059" s="3" t="s">
        <v>131</v>
      </c>
      <c r="G1059" s="25">
        <v>2450</v>
      </c>
      <c r="H1059" s="45">
        <v>0</v>
      </c>
    </row>
    <row r="1060" spans="1:8" x14ac:dyDescent="0.25">
      <c r="A1060" s="2" t="s">
        <v>1893</v>
      </c>
      <c r="B1060" s="3" t="s">
        <v>46</v>
      </c>
      <c r="C1060" s="3" t="s">
        <v>1903</v>
      </c>
      <c r="D1060" s="94" t="s">
        <v>1904</v>
      </c>
      <c r="E1060" s="94"/>
      <c r="F1060" s="3" t="s">
        <v>131</v>
      </c>
      <c r="G1060" s="25">
        <v>27</v>
      </c>
      <c r="H1060" s="45">
        <v>0</v>
      </c>
    </row>
    <row r="1061" spans="1:8" x14ac:dyDescent="0.25">
      <c r="A1061" s="2" t="s">
        <v>1896</v>
      </c>
      <c r="B1061" s="3" t="s">
        <v>46</v>
      </c>
      <c r="C1061" s="3" t="s">
        <v>1906</v>
      </c>
      <c r="D1061" s="94" t="s">
        <v>1907</v>
      </c>
      <c r="E1061" s="94"/>
      <c r="F1061" s="3" t="s">
        <v>131</v>
      </c>
      <c r="G1061" s="25">
        <v>40</v>
      </c>
      <c r="H1061" s="45">
        <v>0</v>
      </c>
    </row>
    <row r="1062" spans="1:8" x14ac:dyDescent="0.25">
      <c r="A1062" s="2" t="s">
        <v>1899</v>
      </c>
      <c r="B1062" s="3" t="s">
        <v>46</v>
      </c>
      <c r="C1062" s="3" t="s">
        <v>1909</v>
      </c>
      <c r="D1062" s="94" t="s">
        <v>1910</v>
      </c>
      <c r="E1062" s="94"/>
      <c r="F1062" s="3" t="s">
        <v>131</v>
      </c>
      <c r="G1062" s="25">
        <v>6</v>
      </c>
      <c r="H1062" s="45">
        <v>0</v>
      </c>
    </row>
    <row r="1063" spans="1:8" x14ac:dyDescent="0.25">
      <c r="A1063" s="2" t="s">
        <v>1902</v>
      </c>
      <c r="B1063" s="3" t="s">
        <v>46</v>
      </c>
      <c r="C1063" s="3" t="s">
        <v>1912</v>
      </c>
      <c r="D1063" s="94" t="s">
        <v>1913</v>
      </c>
      <c r="E1063" s="94"/>
      <c r="F1063" s="3" t="s">
        <v>131</v>
      </c>
      <c r="G1063" s="25">
        <v>120</v>
      </c>
      <c r="H1063" s="45">
        <v>0</v>
      </c>
    </row>
    <row r="1064" spans="1:8" x14ac:dyDescent="0.25">
      <c r="A1064" s="2" t="s">
        <v>1905</v>
      </c>
      <c r="B1064" s="3" t="s">
        <v>46</v>
      </c>
      <c r="C1064" s="3" t="s">
        <v>1915</v>
      </c>
      <c r="D1064" s="94" t="s">
        <v>1916</v>
      </c>
      <c r="E1064" s="94"/>
      <c r="F1064" s="3" t="s">
        <v>131</v>
      </c>
      <c r="G1064" s="25">
        <v>60</v>
      </c>
      <c r="H1064" s="45">
        <v>0</v>
      </c>
    </row>
    <row r="1065" spans="1:8" x14ac:dyDescent="0.25">
      <c r="A1065" s="2" t="s">
        <v>1908</v>
      </c>
      <c r="B1065" s="3" t="s">
        <v>46</v>
      </c>
      <c r="C1065" s="3" t="s">
        <v>1918</v>
      </c>
      <c r="D1065" s="94" t="s">
        <v>1919</v>
      </c>
      <c r="E1065" s="94"/>
      <c r="F1065" s="3" t="s">
        <v>131</v>
      </c>
      <c r="G1065" s="25">
        <v>80</v>
      </c>
      <c r="H1065" s="45">
        <v>0</v>
      </c>
    </row>
    <row r="1066" spans="1:8" x14ac:dyDescent="0.25">
      <c r="A1066" s="2" t="s">
        <v>1911</v>
      </c>
      <c r="B1066" s="3" t="s">
        <v>46</v>
      </c>
      <c r="C1066" s="3" t="s">
        <v>1924</v>
      </c>
      <c r="D1066" s="94" t="s">
        <v>1925</v>
      </c>
      <c r="E1066" s="94"/>
      <c r="F1066" s="3" t="s">
        <v>131</v>
      </c>
      <c r="G1066" s="25">
        <v>30</v>
      </c>
      <c r="H1066" s="45">
        <v>0</v>
      </c>
    </row>
    <row r="1067" spans="1:8" x14ac:dyDescent="0.25">
      <c r="A1067" s="2" t="s">
        <v>1914</v>
      </c>
      <c r="B1067" s="3" t="s">
        <v>46</v>
      </c>
      <c r="C1067" s="3" t="s">
        <v>1927</v>
      </c>
      <c r="D1067" s="94" t="s">
        <v>1928</v>
      </c>
      <c r="E1067" s="94"/>
      <c r="F1067" s="3" t="s">
        <v>52</v>
      </c>
      <c r="G1067" s="25">
        <v>331</v>
      </c>
      <c r="H1067" s="45">
        <v>0</v>
      </c>
    </row>
    <row r="1068" spans="1:8" x14ac:dyDescent="0.25">
      <c r="A1068" s="2" t="s">
        <v>1917</v>
      </c>
      <c r="B1068" s="3" t="s">
        <v>46</v>
      </c>
      <c r="C1068" s="3" t="s">
        <v>1930</v>
      </c>
      <c r="D1068" s="94" t="s">
        <v>1931</v>
      </c>
      <c r="E1068" s="94"/>
      <c r="F1068" s="3" t="s">
        <v>52</v>
      </c>
      <c r="G1068" s="25">
        <v>26</v>
      </c>
      <c r="H1068" s="45">
        <v>0</v>
      </c>
    </row>
    <row r="1069" spans="1:8" x14ac:dyDescent="0.25">
      <c r="A1069" s="2" t="s">
        <v>1920</v>
      </c>
      <c r="B1069" s="3" t="s">
        <v>46</v>
      </c>
      <c r="C1069" s="3" t="s">
        <v>1933</v>
      </c>
      <c r="D1069" s="94" t="s">
        <v>1934</v>
      </c>
      <c r="E1069" s="94"/>
      <c r="F1069" s="3" t="s">
        <v>52</v>
      </c>
      <c r="G1069" s="25">
        <v>22</v>
      </c>
      <c r="H1069" s="45">
        <v>0</v>
      </c>
    </row>
    <row r="1070" spans="1:8" x14ac:dyDescent="0.25">
      <c r="A1070" s="2" t="s">
        <v>1923</v>
      </c>
      <c r="B1070" s="3" t="s">
        <v>46</v>
      </c>
      <c r="C1070" s="3" t="s">
        <v>1936</v>
      </c>
      <c r="D1070" s="94" t="s">
        <v>1937</v>
      </c>
      <c r="E1070" s="94"/>
      <c r="F1070" s="3" t="s">
        <v>52</v>
      </c>
      <c r="G1070" s="25">
        <v>2</v>
      </c>
      <c r="H1070" s="45">
        <v>0</v>
      </c>
    </row>
    <row r="1071" spans="1:8" x14ac:dyDescent="0.25">
      <c r="A1071" s="2" t="s">
        <v>1926</v>
      </c>
      <c r="B1071" s="3" t="s">
        <v>46</v>
      </c>
      <c r="C1071" s="3" t="s">
        <v>1939</v>
      </c>
      <c r="D1071" s="94" t="s">
        <v>1940</v>
      </c>
      <c r="E1071" s="94"/>
      <c r="F1071" s="3" t="s">
        <v>52</v>
      </c>
      <c r="G1071" s="25">
        <v>29</v>
      </c>
      <c r="H1071" s="45">
        <v>0</v>
      </c>
    </row>
    <row r="1072" spans="1:8" x14ac:dyDescent="0.25">
      <c r="A1072" s="2" t="s">
        <v>1929</v>
      </c>
      <c r="B1072" s="3" t="s">
        <v>46</v>
      </c>
      <c r="C1072" s="3" t="s">
        <v>1942</v>
      </c>
      <c r="D1072" s="94" t="s">
        <v>1943</v>
      </c>
      <c r="E1072" s="94"/>
      <c r="F1072" s="3" t="s">
        <v>52</v>
      </c>
      <c r="G1072" s="25">
        <v>2</v>
      </c>
      <c r="H1072" s="45">
        <v>0</v>
      </c>
    </row>
    <row r="1073" spans="1:8" x14ac:dyDescent="0.25">
      <c r="A1073" s="2" t="s">
        <v>1932</v>
      </c>
      <c r="B1073" s="3" t="s">
        <v>46</v>
      </c>
      <c r="C1073" s="3" t="s">
        <v>1945</v>
      </c>
      <c r="D1073" s="94" t="s">
        <v>1946</v>
      </c>
      <c r="E1073" s="94"/>
      <c r="F1073" s="3" t="s">
        <v>52</v>
      </c>
      <c r="G1073" s="25">
        <v>14</v>
      </c>
      <c r="H1073" s="45">
        <v>0</v>
      </c>
    </row>
    <row r="1074" spans="1:8" x14ac:dyDescent="0.25">
      <c r="A1074" s="2" t="s">
        <v>1935</v>
      </c>
      <c r="B1074" s="3" t="s">
        <v>46</v>
      </c>
      <c r="C1074" s="3" t="s">
        <v>1948</v>
      </c>
      <c r="D1074" s="94" t="s">
        <v>1949</v>
      </c>
      <c r="E1074" s="94"/>
      <c r="F1074" s="3" t="s">
        <v>52</v>
      </c>
      <c r="G1074" s="25">
        <v>15</v>
      </c>
      <c r="H1074" s="45">
        <v>0</v>
      </c>
    </row>
    <row r="1075" spans="1:8" x14ac:dyDescent="0.25">
      <c r="A1075" s="2" t="s">
        <v>1938</v>
      </c>
      <c r="B1075" s="3" t="s">
        <v>46</v>
      </c>
      <c r="C1075" s="3" t="s">
        <v>1951</v>
      </c>
      <c r="D1075" s="94" t="s">
        <v>1952</v>
      </c>
      <c r="E1075" s="94"/>
      <c r="F1075" s="3" t="s">
        <v>52</v>
      </c>
      <c r="G1075" s="25">
        <v>8</v>
      </c>
      <c r="H1075" s="45">
        <v>0</v>
      </c>
    </row>
    <row r="1076" spans="1:8" x14ac:dyDescent="0.25">
      <c r="A1076" s="2" t="s">
        <v>1941</v>
      </c>
      <c r="B1076" s="3" t="s">
        <v>46</v>
      </c>
      <c r="C1076" s="3" t="s">
        <v>1954</v>
      </c>
      <c r="D1076" s="94" t="s">
        <v>1955</v>
      </c>
      <c r="E1076" s="94"/>
      <c r="F1076" s="3" t="s">
        <v>52</v>
      </c>
      <c r="G1076" s="25">
        <v>51</v>
      </c>
      <c r="H1076" s="45">
        <v>0</v>
      </c>
    </row>
    <row r="1077" spans="1:8" x14ac:dyDescent="0.25">
      <c r="A1077" s="2" t="s">
        <v>1944</v>
      </c>
      <c r="B1077" s="3" t="s">
        <v>46</v>
      </c>
      <c r="C1077" s="3" t="s">
        <v>1957</v>
      </c>
      <c r="D1077" s="94" t="s">
        <v>1958</v>
      </c>
      <c r="E1077" s="94"/>
      <c r="F1077" s="3" t="s">
        <v>52</v>
      </c>
      <c r="G1077" s="25">
        <v>15</v>
      </c>
      <c r="H1077" s="45">
        <v>0</v>
      </c>
    </row>
    <row r="1078" spans="1:8" x14ac:dyDescent="0.25">
      <c r="A1078" s="2" t="s">
        <v>1947</v>
      </c>
      <c r="B1078" s="3" t="s">
        <v>46</v>
      </c>
      <c r="C1078" s="3" t="s">
        <v>1960</v>
      </c>
      <c r="D1078" s="94" t="s">
        <v>1961</v>
      </c>
      <c r="E1078" s="94"/>
      <c r="F1078" s="3" t="s">
        <v>52</v>
      </c>
      <c r="G1078" s="25">
        <v>105</v>
      </c>
      <c r="H1078" s="45">
        <v>0</v>
      </c>
    </row>
    <row r="1079" spans="1:8" x14ac:dyDescent="0.25">
      <c r="A1079" s="2" t="s">
        <v>1950</v>
      </c>
      <c r="B1079" s="3" t="s">
        <v>46</v>
      </c>
      <c r="C1079" s="3" t="s">
        <v>1963</v>
      </c>
      <c r="D1079" s="94" t="s">
        <v>1964</v>
      </c>
      <c r="E1079" s="94"/>
      <c r="F1079" s="3" t="s">
        <v>52</v>
      </c>
      <c r="G1079" s="25">
        <v>24</v>
      </c>
      <c r="H1079" s="45">
        <v>0</v>
      </c>
    </row>
    <row r="1080" spans="1:8" x14ac:dyDescent="0.25">
      <c r="A1080" s="2" t="s">
        <v>1953</v>
      </c>
      <c r="B1080" s="3" t="s">
        <v>46</v>
      </c>
      <c r="C1080" s="3" t="s">
        <v>1966</v>
      </c>
      <c r="D1080" s="94" t="s">
        <v>1967</v>
      </c>
      <c r="E1080" s="94"/>
      <c r="F1080" s="3" t="s">
        <v>52</v>
      </c>
      <c r="G1080" s="25">
        <v>44</v>
      </c>
      <c r="H1080" s="45">
        <v>0</v>
      </c>
    </row>
    <row r="1081" spans="1:8" x14ac:dyDescent="0.25">
      <c r="A1081" s="2" t="s">
        <v>1956</v>
      </c>
      <c r="B1081" s="3" t="s">
        <v>46</v>
      </c>
      <c r="C1081" s="3" t="s">
        <v>1969</v>
      </c>
      <c r="D1081" s="94" t="s">
        <v>1970</v>
      </c>
      <c r="E1081" s="94"/>
      <c r="F1081" s="3" t="s">
        <v>52</v>
      </c>
      <c r="G1081" s="25">
        <v>12</v>
      </c>
      <c r="H1081" s="45">
        <v>0</v>
      </c>
    </row>
    <row r="1082" spans="1:8" x14ac:dyDescent="0.25">
      <c r="A1082" s="2" t="s">
        <v>1959</v>
      </c>
      <c r="B1082" s="3" t="s">
        <v>46</v>
      </c>
      <c r="C1082" s="3" t="s">
        <v>1972</v>
      </c>
      <c r="D1082" s="94" t="s">
        <v>1973</v>
      </c>
      <c r="E1082" s="94"/>
      <c r="F1082" s="3" t="s">
        <v>52</v>
      </c>
      <c r="G1082" s="25">
        <v>22</v>
      </c>
      <c r="H1082" s="45">
        <v>0</v>
      </c>
    </row>
    <row r="1083" spans="1:8" x14ac:dyDescent="0.25">
      <c r="A1083" s="2" t="s">
        <v>1962</v>
      </c>
      <c r="B1083" s="3" t="s">
        <v>46</v>
      </c>
      <c r="C1083" s="3" t="s">
        <v>1975</v>
      </c>
      <c r="D1083" s="94" t="s">
        <v>1976</v>
      </c>
      <c r="E1083" s="94"/>
      <c r="F1083" s="3" t="s">
        <v>52</v>
      </c>
      <c r="G1083" s="25">
        <v>5</v>
      </c>
      <c r="H1083" s="45">
        <v>0</v>
      </c>
    </row>
    <row r="1084" spans="1:8" x14ac:dyDescent="0.25">
      <c r="A1084" s="2" t="s">
        <v>1965</v>
      </c>
      <c r="B1084" s="3" t="s">
        <v>46</v>
      </c>
      <c r="C1084" s="3" t="s">
        <v>1978</v>
      </c>
      <c r="D1084" s="94" t="s">
        <v>1979</v>
      </c>
      <c r="E1084" s="94"/>
      <c r="F1084" s="3" t="s">
        <v>52</v>
      </c>
      <c r="G1084" s="25">
        <v>7</v>
      </c>
      <c r="H1084" s="45">
        <v>0</v>
      </c>
    </row>
    <row r="1085" spans="1:8" x14ac:dyDescent="0.25">
      <c r="A1085" s="2" t="s">
        <v>1968</v>
      </c>
      <c r="B1085" s="3" t="s">
        <v>46</v>
      </c>
      <c r="C1085" s="3" t="s">
        <v>1981</v>
      </c>
      <c r="D1085" s="94" t="s">
        <v>1982</v>
      </c>
      <c r="E1085" s="94"/>
      <c r="F1085" s="3" t="s">
        <v>52</v>
      </c>
      <c r="G1085" s="25">
        <v>1</v>
      </c>
      <c r="H1085" s="45">
        <v>0</v>
      </c>
    </row>
    <row r="1086" spans="1:8" x14ac:dyDescent="0.25">
      <c r="A1086" s="2" t="s">
        <v>1971</v>
      </c>
      <c r="B1086" s="3" t="s">
        <v>46</v>
      </c>
      <c r="C1086" s="3" t="s">
        <v>1984</v>
      </c>
      <c r="D1086" s="94" t="s">
        <v>1985</v>
      </c>
      <c r="E1086" s="94"/>
      <c r="F1086" s="3" t="s">
        <v>52</v>
      </c>
      <c r="G1086" s="25">
        <v>2</v>
      </c>
      <c r="H1086" s="45">
        <v>0</v>
      </c>
    </row>
    <row r="1087" spans="1:8" x14ac:dyDescent="0.25">
      <c r="A1087" s="2" t="s">
        <v>1974</v>
      </c>
      <c r="B1087" s="3" t="s">
        <v>46</v>
      </c>
      <c r="C1087" s="3" t="s">
        <v>1987</v>
      </c>
      <c r="D1087" s="94" t="s">
        <v>1988</v>
      </c>
      <c r="E1087" s="94"/>
      <c r="F1087" s="3" t="s">
        <v>52</v>
      </c>
      <c r="G1087" s="25">
        <v>208</v>
      </c>
      <c r="H1087" s="45">
        <v>0</v>
      </c>
    </row>
    <row r="1088" spans="1:8" x14ac:dyDescent="0.25">
      <c r="A1088" s="2" t="s">
        <v>1977</v>
      </c>
      <c r="B1088" s="3" t="s">
        <v>46</v>
      </c>
      <c r="C1088" s="3" t="s">
        <v>1990</v>
      </c>
      <c r="D1088" s="94" t="s">
        <v>1991</v>
      </c>
      <c r="E1088" s="94"/>
      <c r="F1088" s="3" t="s">
        <v>52</v>
      </c>
      <c r="G1088" s="25">
        <v>64</v>
      </c>
      <c r="H1088" s="45">
        <v>0</v>
      </c>
    </row>
    <row r="1089" spans="1:8" x14ac:dyDescent="0.25">
      <c r="A1089" s="2" t="s">
        <v>1980</v>
      </c>
      <c r="B1089" s="3" t="s">
        <v>46</v>
      </c>
      <c r="C1089" s="3" t="s">
        <v>1993</v>
      </c>
      <c r="D1089" s="94" t="s">
        <v>1994</v>
      </c>
      <c r="E1089" s="94"/>
      <c r="F1089" s="3" t="s">
        <v>52</v>
      </c>
      <c r="G1089" s="25">
        <v>21</v>
      </c>
      <c r="H1089" s="45">
        <v>0</v>
      </c>
    </row>
    <row r="1090" spans="1:8" x14ac:dyDescent="0.25">
      <c r="A1090" s="2" t="s">
        <v>1983</v>
      </c>
      <c r="B1090" s="3" t="s">
        <v>46</v>
      </c>
      <c r="C1090" s="3" t="s">
        <v>1996</v>
      </c>
      <c r="D1090" s="94" t="s">
        <v>1997</v>
      </c>
      <c r="E1090" s="94"/>
      <c r="F1090" s="3" t="s">
        <v>52</v>
      </c>
      <c r="G1090" s="25">
        <v>2</v>
      </c>
      <c r="H1090" s="45">
        <v>0</v>
      </c>
    </row>
    <row r="1091" spans="1:8" x14ac:dyDescent="0.25">
      <c r="A1091" s="2" t="s">
        <v>1986</v>
      </c>
      <c r="B1091" s="3" t="s">
        <v>46</v>
      </c>
      <c r="C1091" s="3" t="s">
        <v>1999</v>
      </c>
      <c r="D1091" s="94" t="s">
        <v>2000</v>
      </c>
      <c r="E1091" s="94"/>
      <c r="F1091" s="3" t="s">
        <v>52</v>
      </c>
      <c r="G1091" s="25">
        <v>1</v>
      </c>
      <c r="H1091" s="45">
        <v>0</v>
      </c>
    </row>
    <row r="1092" spans="1:8" x14ac:dyDescent="0.25">
      <c r="A1092" s="2" t="s">
        <v>1989</v>
      </c>
      <c r="B1092" s="3" t="s">
        <v>46</v>
      </c>
      <c r="C1092" s="3" t="s">
        <v>2002</v>
      </c>
      <c r="D1092" s="94" t="s">
        <v>2003</v>
      </c>
      <c r="E1092" s="94"/>
      <c r="F1092" s="3" t="s">
        <v>52</v>
      </c>
      <c r="G1092" s="25">
        <v>4</v>
      </c>
      <c r="H1092" s="45">
        <v>0</v>
      </c>
    </row>
    <row r="1093" spans="1:8" x14ac:dyDescent="0.25">
      <c r="A1093" s="2" t="s">
        <v>1992</v>
      </c>
      <c r="B1093" s="3" t="s">
        <v>46</v>
      </c>
      <c r="C1093" s="3" t="s">
        <v>2005</v>
      </c>
      <c r="D1093" s="94" t="s">
        <v>2006</v>
      </c>
      <c r="E1093" s="94"/>
      <c r="F1093" s="3" t="s">
        <v>52</v>
      </c>
      <c r="G1093" s="25">
        <v>4</v>
      </c>
      <c r="H1093" s="45">
        <v>0</v>
      </c>
    </row>
    <row r="1094" spans="1:8" x14ac:dyDescent="0.25">
      <c r="A1094" s="2" t="s">
        <v>1995</v>
      </c>
      <c r="B1094" s="3" t="s">
        <v>46</v>
      </c>
      <c r="C1094" s="3" t="s">
        <v>2008</v>
      </c>
      <c r="D1094" s="94" t="s">
        <v>2009</v>
      </c>
      <c r="E1094" s="94"/>
      <c r="F1094" s="3" t="s">
        <v>52</v>
      </c>
      <c r="G1094" s="25">
        <v>1</v>
      </c>
      <c r="H1094" s="45">
        <v>0</v>
      </c>
    </row>
    <row r="1095" spans="1:8" x14ac:dyDescent="0.25">
      <c r="A1095" s="2" t="s">
        <v>1998</v>
      </c>
      <c r="B1095" s="3" t="s">
        <v>46</v>
      </c>
      <c r="C1095" s="3" t="s">
        <v>2011</v>
      </c>
      <c r="D1095" s="94" t="s">
        <v>2012</v>
      </c>
      <c r="E1095" s="94"/>
      <c r="F1095" s="3" t="s">
        <v>52</v>
      </c>
      <c r="G1095" s="25">
        <v>13</v>
      </c>
      <c r="H1095" s="45">
        <v>0</v>
      </c>
    </row>
    <row r="1096" spans="1:8" x14ac:dyDescent="0.25">
      <c r="A1096" s="2" t="s">
        <v>2001</v>
      </c>
      <c r="B1096" s="3" t="s">
        <v>46</v>
      </c>
      <c r="C1096" s="3" t="s">
        <v>2014</v>
      </c>
      <c r="D1096" s="94" t="s">
        <v>2015</v>
      </c>
      <c r="E1096" s="94"/>
      <c r="F1096" s="3" t="s">
        <v>52</v>
      </c>
      <c r="G1096" s="25">
        <v>1</v>
      </c>
      <c r="H1096" s="45">
        <v>0</v>
      </c>
    </row>
    <row r="1097" spans="1:8" x14ac:dyDescent="0.25">
      <c r="A1097" s="2" t="s">
        <v>2004</v>
      </c>
      <c r="B1097" s="3" t="s">
        <v>46</v>
      </c>
      <c r="C1097" s="3" t="s">
        <v>2017</v>
      </c>
      <c r="D1097" s="94" t="s">
        <v>2018</v>
      </c>
      <c r="E1097" s="94"/>
      <c r="F1097" s="3" t="s">
        <v>52</v>
      </c>
      <c r="G1097" s="25">
        <v>1</v>
      </c>
      <c r="H1097" s="45">
        <v>0</v>
      </c>
    </row>
    <row r="1098" spans="1:8" x14ac:dyDescent="0.25">
      <c r="A1098" s="2" t="s">
        <v>2007</v>
      </c>
      <c r="B1098" s="3" t="s">
        <v>46</v>
      </c>
      <c r="C1098" s="3" t="s">
        <v>2020</v>
      </c>
      <c r="D1098" s="94" t="s">
        <v>2021</v>
      </c>
      <c r="E1098" s="94"/>
      <c r="F1098" s="3" t="s">
        <v>52</v>
      </c>
      <c r="G1098" s="25">
        <v>1</v>
      </c>
      <c r="H1098" s="45">
        <v>0</v>
      </c>
    </row>
    <row r="1099" spans="1:8" x14ac:dyDescent="0.25">
      <c r="A1099" s="2" t="s">
        <v>2010</v>
      </c>
      <c r="B1099" s="3" t="s">
        <v>46</v>
      </c>
      <c r="C1099" s="3" t="s">
        <v>2023</v>
      </c>
      <c r="D1099" s="94" t="s">
        <v>2024</v>
      </c>
      <c r="E1099" s="94"/>
      <c r="F1099" s="3" t="s">
        <v>52</v>
      </c>
      <c r="G1099" s="25">
        <v>6</v>
      </c>
      <c r="H1099" s="45">
        <v>0</v>
      </c>
    </row>
    <row r="1100" spans="1:8" x14ac:dyDescent="0.25">
      <c r="A1100" s="2" t="s">
        <v>2013</v>
      </c>
      <c r="B1100" s="3" t="s">
        <v>46</v>
      </c>
      <c r="C1100" s="3" t="s">
        <v>2026</v>
      </c>
      <c r="D1100" s="94" t="s">
        <v>2027</v>
      </c>
      <c r="E1100" s="94"/>
      <c r="F1100" s="3" t="s">
        <v>52</v>
      </c>
      <c r="G1100" s="25">
        <v>4</v>
      </c>
      <c r="H1100" s="45">
        <v>0</v>
      </c>
    </row>
    <row r="1101" spans="1:8" x14ac:dyDescent="0.25">
      <c r="A1101" s="2" t="s">
        <v>2016</v>
      </c>
      <c r="B1101" s="3" t="s">
        <v>46</v>
      </c>
      <c r="C1101" s="3" t="s">
        <v>2029</v>
      </c>
      <c r="D1101" s="94" t="s">
        <v>2030</v>
      </c>
      <c r="E1101" s="94"/>
      <c r="F1101" s="3" t="s">
        <v>52</v>
      </c>
      <c r="G1101" s="25">
        <v>3</v>
      </c>
      <c r="H1101" s="45">
        <v>0</v>
      </c>
    </row>
    <row r="1102" spans="1:8" x14ac:dyDescent="0.25">
      <c r="A1102" s="2" t="s">
        <v>2019</v>
      </c>
      <c r="B1102" s="3" t="s">
        <v>46</v>
      </c>
      <c r="C1102" s="3" t="s">
        <v>2032</v>
      </c>
      <c r="D1102" s="94" t="s">
        <v>2033</v>
      </c>
      <c r="E1102" s="94"/>
      <c r="F1102" s="3" t="s">
        <v>52</v>
      </c>
      <c r="G1102" s="25">
        <v>15</v>
      </c>
      <c r="H1102" s="45">
        <v>0</v>
      </c>
    </row>
    <row r="1103" spans="1:8" x14ac:dyDescent="0.25">
      <c r="A1103" s="2" t="s">
        <v>2022</v>
      </c>
      <c r="B1103" s="3" t="s">
        <v>46</v>
      </c>
      <c r="C1103" s="3" t="s">
        <v>2035</v>
      </c>
      <c r="D1103" s="94" t="s">
        <v>2036</v>
      </c>
      <c r="E1103" s="94"/>
      <c r="F1103" s="3" t="s">
        <v>52</v>
      </c>
      <c r="G1103" s="25">
        <v>11</v>
      </c>
      <c r="H1103" s="45">
        <v>0</v>
      </c>
    </row>
    <row r="1104" spans="1:8" x14ac:dyDescent="0.25">
      <c r="A1104" s="2" t="s">
        <v>2025</v>
      </c>
      <c r="B1104" s="3" t="s">
        <v>46</v>
      </c>
      <c r="C1104" s="3" t="s">
        <v>2038</v>
      </c>
      <c r="D1104" s="94" t="s">
        <v>2039</v>
      </c>
      <c r="E1104" s="94"/>
      <c r="F1104" s="3" t="s">
        <v>52</v>
      </c>
      <c r="G1104" s="25">
        <v>6</v>
      </c>
      <c r="H1104" s="45">
        <v>0</v>
      </c>
    </row>
    <row r="1105" spans="1:8" x14ac:dyDescent="0.25">
      <c r="A1105" s="2" t="s">
        <v>2028</v>
      </c>
      <c r="B1105" s="3" t="s">
        <v>46</v>
      </c>
      <c r="C1105" s="3" t="s">
        <v>2041</v>
      </c>
      <c r="D1105" s="94" t="s">
        <v>2042</v>
      </c>
      <c r="E1105" s="94"/>
      <c r="F1105" s="3" t="s">
        <v>52</v>
      </c>
      <c r="G1105" s="25">
        <v>52</v>
      </c>
      <c r="H1105" s="45">
        <v>0</v>
      </c>
    </row>
    <row r="1106" spans="1:8" x14ac:dyDescent="0.25">
      <c r="A1106" s="2" t="s">
        <v>2031</v>
      </c>
      <c r="B1106" s="3" t="s">
        <v>46</v>
      </c>
      <c r="C1106" s="3" t="s">
        <v>2044</v>
      </c>
      <c r="D1106" s="94" t="s">
        <v>2045</v>
      </c>
      <c r="E1106" s="94"/>
      <c r="F1106" s="3" t="s">
        <v>52</v>
      </c>
      <c r="G1106" s="25">
        <v>1</v>
      </c>
      <c r="H1106" s="45">
        <v>0</v>
      </c>
    </row>
    <row r="1107" spans="1:8" x14ac:dyDescent="0.25">
      <c r="A1107" s="2" t="s">
        <v>2034</v>
      </c>
      <c r="B1107" s="3" t="s">
        <v>46</v>
      </c>
      <c r="C1107" s="3" t="s">
        <v>2047</v>
      </c>
      <c r="D1107" s="94" t="s">
        <v>2048</v>
      </c>
      <c r="E1107" s="94"/>
      <c r="F1107" s="3" t="s">
        <v>52</v>
      </c>
      <c r="G1107" s="25">
        <v>6</v>
      </c>
      <c r="H1107" s="45">
        <v>0</v>
      </c>
    </row>
    <row r="1108" spans="1:8" x14ac:dyDescent="0.25">
      <c r="A1108" s="2" t="s">
        <v>2037</v>
      </c>
      <c r="B1108" s="3" t="s">
        <v>46</v>
      </c>
      <c r="C1108" s="3" t="s">
        <v>2050</v>
      </c>
      <c r="D1108" s="94" t="s">
        <v>2051</v>
      </c>
      <c r="E1108" s="94"/>
      <c r="F1108" s="3" t="s">
        <v>52</v>
      </c>
      <c r="G1108" s="25">
        <v>2</v>
      </c>
      <c r="H1108" s="45">
        <v>0</v>
      </c>
    </row>
    <row r="1109" spans="1:8" x14ac:dyDescent="0.25">
      <c r="A1109" s="2" t="s">
        <v>2040</v>
      </c>
      <c r="B1109" s="3" t="s">
        <v>46</v>
      </c>
      <c r="C1109" s="3" t="s">
        <v>2053</v>
      </c>
      <c r="D1109" s="94" t="s">
        <v>2054</v>
      </c>
      <c r="E1109" s="94"/>
      <c r="F1109" s="3" t="s">
        <v>52</v>
      </c>
      <c r="G1109" s="25">
        <v>5</v>
      </c>
      <c r="H1109" s="45">
        <v>0</v>
      </c>
    </row>
    <row r="1110" spans="1:8" x14ac:dyDescent="0.25">
      <c r="A1110" s="2" t="s">
        <v>2043</v>
      </c>
      <c r="B1110" s="3" t="s">
        <v>46</v>
      </c>
      <c r="C1110" s="3" t="s">
        <v>2056</v>
      </c>
      <c r="D1110" s="94" t="s">
        <v>2057</v>
      </c>
      <c r="E1110" s="94"/>
      <c r="F1110" s="3" t="s">
        <v>52</v>
      </c>
      <c r="G1110" s="25">
        <v>9</v>
      </c>
      <c r="H1110" s="45">
        <v>0</v>
      </c>
    </row>
    <row r="1111" spans="1:8" x14ac:dyDescent="0.25">
      <c r="A1111" s="2" t="s">
        <v>2046</v>
      </c>
      <c r="B1111" s="3" t="s">
        <v>46</v>
      </c>
      <c r="C1111" s="3" t="s">
        <v>2059</v>
      </c>
      <c r="D1111" s="94" t="s">
        <v>2060</v>
      </c>
      <c r="E1111" s="94"/>
      <c r="F1111" s="3" t="s">
        <v>52</v>
      </c>
      <c r="G1111" s="25">
        <v>2</v>
      </c>
      <c r="H1111" s="45">
        <v>0</v>
      </c>
    </row>
    <row r="1112" spans="1:8" x14ac:dyDescent="0.25">
      <c r="A1112" s="2" t="s">
        <v>2049</v>
      </c>
      <c r="B1112" s="3" t="s">
        <v>46</v>
      </c>
      <c r="C1112" s="3" t="s">
        <v>2062</v>
      </c>
      <c r="D1112" s="94" t="s">
        <v>2063</v>
      </c>
      <c r="E1112" s="94"/>
      <c r="F1112" s="3" t="s">
        <v>52</v>
      </c>
      <c r="G1112" s="25">
        <v>1</v>
      </c>
      <c r="H1112" s="45">
        <v>0</v>
      </c>
    </row>
    <row r="1113" spans="1:8" x14ac:dyDescent="0.25">
      <c r="A1113" s="2" t="s">
        <v>2052</v>
      </c>
      <c r="B1113" s="3" t="s">
        <v>46</v>
      </c>
      <c r="C1113" s="3" t="s">
        <v>2065</v>
      </c>
      <c r="D1113" s="94" t="s">
        <v>2066</v>
      </c>
      <c r="E1113" s="94"/>
      <c r="F1113" s="3" t="s">
        <v>131</v>
      </c>
      <c r="G1113" s="25">
        <v>20</v>
      </c>
      <c r="H1113" s="45">
        <v>0</v>
      </c>
    </row>
    <row r="1114" spans="1:8" x14ac:dyDescent="0.25">
      <c r="A1114" s="2" t="s">
        <v>2055</v>
      </c>
      <c r="B1114" s="3" t="s">
        <v>46</v>
      </c>
      <c r="C1114" s="3" t="s">
        <v>2068</v>
      </c>
      <c r="D1114" s="94" t="s">
        <v>2069</v>
      </c>
      <c r="E1114" s="94"/>
      <c r="F1114" s="3" t="s">
        <v>52</v>
      </c>
      <c r="G1114" s="25">
        <v>7</v>
      </c>
      <c r="H1114" s="45">
        <v>0</v>
      </c>
    </row>
    <row r="1115" spans="1:8" x14ac:dyDescent="0.25">
      <c r="A1115" s="2" t="s">
        <v>2058</v>
      </c>
      <c r="B1115" s="3" t="s">
        <v>46</v>
      </c>
      <c r="C1115" s="3" t="s">
        <v>2071</v>
      </c>
      <c r="D1115" s="94" t="s">
        <v>2072</v>
      </c>
      <c r="E1115" s="94"/>
      <c r="F1115" s="3" t="s">
        <v>52</v>
      </c>
      <c r="G1115" s="25">
        <v>1</v>
      </c>
      <c r="H1115" s="45">
        <v>0</v>
      </c>
    </row>
    <row r="1116" spans="1:8" x14ac:dyDescent="0.25">
      <c r="A1116" s="2" t="s">
        <v>2061</v>
      </c>
      <c r="B1116" s="3" t="s">
        <v>46</v>
      </c>
      <c r="C1116" s="3" t="s">
        <v>2074</v>
      </c>
      <c r="D1116" s="94" t="s">
        <v>2075</v>
      </c>
      <c r="E1116" s="94"/>
      <c r="F1116" s="3" t="s">
        <v>52</v>
      </c>
      <c r="G1116" s="25">
        <v>1</v>
      </c>
      <c r="H1116" s="45">
        <v>0</v>
      </c>
    </row>
    <row r="1117" spans="1:8" x14ac:dyDescent="0.25">
      <c r="A1117" s="2" t="s">
        <v>2064</v>
      </c>
      <c r="B1117" s="3" t="s">
        <v>46</v>
      </c>
      <c r="C1117" s="3" t="s">
        <v>2077</v>
      </c>
      <c r="D1117" s="94" t="s">
        <v>2078</v>
      </c>
      <c r="E1117" s="94"/>
      <c r="F1117" s="3" t="s">
        <v>52</v>
      </c>
      <c r="G1117" s="25">
        <v>5</v>
      </c>
      <c r="H1117" s="45">
        <v>0</v>
      </c>
    </row>
    <row r="1118" spans="1:8" x14ac:dyDescent="0.25">
      <c r="A1118" s="2" t="s">
        <v>2067</v>
      </c>
      <c r="B1118" s="3" t="s">
        <v>46</v>
      </c>
      <c r="C1118" s="3" t="s">
        <v>2080</v>
      </c>
      <c r="D1118" s="94" t="s">
        <v>2081</v>
      </c>
      <c r="E1118" s="94"/>
      <c r="F1118" s="3" t="s">
        <v>52</v>
      </c>
      <c r="G1118" s="25">
        <v>1</v>
      </c>
      <c r="H1118" s="45">
        <v>0</v>
      </c>
    </row>
    <row r="1119" spans="1:8" x14ac:dyDescent="0.25">
      <c r="A1119" s="2" t="s">
        <v>2070</v>
      </c>
      <c r="B1119" s="3" t="s">
        <v>46</v>
      </c>
      <c r="C1119" s="3" t="s">
        <v>2083</v>
      </c>
      <c r="D1119" s="94" t="s">
        <v>2084</v>
      </c>
      <c r="E1119" s="94"/>
      <c r="F1119" s="3" t="s">
        <v>52</v>
      </c>
      <c r="G1119" s="25">
        <v>2</v>
      </c>
      <c r="H1119" s="45">
        <v>0</v>
      </c>
    </row>
    <row r="1120" spans="1:8" x14ac:dyDescent="0.25">
      <c r="A1120" s="2" t="s">
        <v>2073</v>
      </c>
      <c r="B1120" s="3" t="s">
        <v>46</v>
      </c>
      <c r="C1120" s="3" t="s">
        <v>2086</v>
      </c>
      <c r="D1120" s="94" t="s">
        <v>2087</v>
      </c>
      <c r="E1120" s="94"/>
      <c r="F1120" s="3" t="s">
        <v>52</v>
      </c>
      <c r="G1120" s="25">
        <v>5</v>
      </c>
      <c r="H1120" s="45">
        <v>0</v>
      </c>
    </row>
    <row r="1121" spans="1:8" x14ac:dyDescent="0.25">
      <c r="A1121" s="2" t="s">
        <v>2076</v>
      </c>
      <c r="B1121" s="3" t="s">
        <v>46</v>
      </c>
      <c r="C1121" s="3" t="s">
        <v>2089</v>
      </c>
      <c r="D1121" s="94" t="s">
        <v>2090</v>
      </c>
      <c r="E1121" s="94"/>
      <c r="F1121" s="3" t="s">
        <v>52</v>
      </c>
      <c r="G1121" s="25">
        <v>45</v>
      </c>
      <c r="H1121" s="45">
        <v>0</v>
      </c>
    </row>
    <row r="1122" spans="1:8" x14ac:dyDescent="0.25">
      <c r="A1122" s="2" t="s">
        <v>2079</v>
      </c>
      <c r="B1122" s="3" t="s">
        <v>46</v>
      </c>
      <c r="C1122" s="3" t="s">
        <v>2092</v>
      </c>
      <c r="D1122" s="94" t="s">
        <v>2093</v>
      </c>
      <c r="E1122" s="94"/>
      <c r="F1122" s="3" t="s">
        <v>52</v>
      </c>
      <c r="G1122" s="25">
        <v>1</v>
      </c>
      <c r="H1122" s="45">
        <v>0</v>
      </c>
    </row>
    <row r="1123" spans="1:8" x14ac:dyDescent="0.25">
      <c r="A1123" s="2" t="s">
        <v>2082</v>
      </c>
      <c r="B1123" s="3" t="s">
        <v>46</v>
      </c>
      <c r="C1123" s="3" t="s">
        <v>2095</v>
      </c>
      <c r="D1123" s="94" t="s">
        <v>2096</v>
      </c>
      <c r="E1123" s="94"/>
      <c r="F1123" s="3" t="s">
        <v>52</v>
      </c>
      <c r="G1123" s="25">
        <v>1</v>
      </c>
      <c r="H1123" s="45">
        <v>0</v>
      </c>
    </row>
    <row r="1124" spans="1:8" x14ac:dyDescent="0.25">
      <c r="A1124" s="2" t="s">
        <v>2085</v>
      </c>
      <c r="B1124" s="3" t="s">
        <v>46</v>
      </c>
      <c r="C1124" s="3" t="s">
        <v>2098</v>
      </c>
      <c r="D1124" s="94" t="s">
        <v>2099</v>
      </c>
      <c r="E1124" s="94"/>
      <c r="F1124" s="3" t="s">
        <v>52</v>
      </c>
      <c r="G1124" s="25">
        <v>25</v>
      </c>
      <c r="H1124" s="45">
        <v>0</v>
      </c>
    </row>
    <row r="1125" spans="1:8" x14ac:dyDescent="0.25">
      <c r="A1125" s="2" t="s">
        <v>2088</v>
      </c>
      <c r="B1125" s="3" t="s">
        <v>46</v>
      </c>
      <c r="C1125" s="3" t="s">
        <v>2101</v>
      </c>
      <c r="D1125" s="94" t="s">
        <v>2102</v>
      </c>
      <c r="E1125" s="94"/>
      <c r="F1125" s="3" t="s">
        <v>52</v>
      </c>
      <c r="G1125" s="25">
        <v>8</v>
      </c>
      <c r="H1125" s="45">
        <v>0</v>
      </c>
    </row>
    <row r="1126" spans="1:8" x14ac:dyDescent="0.25">
      <c r="A1126" s="2" t="s">
        <v>2091</v>
      </c>
      <c r="B1126" s="3" t="s">
        <v>46</v>
      </c>
      <c r="C1126" s="3" t="s">
        <v>2104</v>
      </c>
      <c r="D1126" s="94" t="s">
        <v>2105</v>
      </c>
      <c r="E1126" s="94"/>
      <c r="F1126" s="3" t="s">
        <v>52</v>
      </c>
      <c r="G1126" s="25">
        <v>384</v>
      </c>
      <c r="H1126" s="45">
        <v>0</v>
      </c>
    </row>
    <row r="1127" spans="1:8" x14ac:dyDescent="0.25">
      <c r="A1127" s="2" t="s">
        <v>2094</v>
      </c>
      <c r="B1127" s="3" t="s">
        <v>46</v>
      </c>
      <c r="C1127" s="3" t="s">
        <v>2107</v>
      </c>
      <c r="D1127" s="94" t="s">
        <v>2108</v>
      </c>
      <c r="E1127" s="94"/>
      <c r="F1127" s="3" t="s">
        <v>52</v>
      </c>
      <c r="G1127" s="25">
        <v>4</v>
      </c>
      <c r="H1127" s="45">
        <v>0</v>
      </c>
    </row>
    <row r="1128" spans="1:8" x14ac:dyDescent="0.25">
      <c r="A1128" s="2" t="s">
        <v>2097</v>
      </c>
      <c r="B1128" s="3" t="s">
        <v>46</v>
      </c>
      <c r="C1128" s="3" t="s">
        <v>2110</v>
      </c>
      <c r="D1128" s="94" t="s">
        <v>2111</v>
      </c>
      <c r="E1128" s="94"/>
      <c r="F1128" s="3" t="s">
        <v>131</v>
      </c>
      <c r="G1128" s="25">
        <v>650</v>
      </c>
      <c r="H1128" s="45">
        <v>0</v>
      </c>
    </row>
    <row r="1129" spans="1:8" x14ac:dyDescent="0.25">
      <c r="A1129" s="2" t="s">
        <v>2100</v>
      </c>
      <c r="B1129" s="3" t="s">
        <v>46</v>
      </c>
      <c r="C1129" s="3" t="s">
        <v>2113</v>
      </c>
      <c r="D1129" s="94" t="s">
        <v>2114</v>
      </c>
      <c r="E1129" s="94"/>
      <c r="F1129" s="3" t="s">
        <v>93</v>
      </c>
      <c r="G1129" s="25">
        <v>0.7</v>
      </c>
      <c r="H1129" s="45">
        <v>0</v>
      </c>
    </row>
    <row r="1130" spans="1:8" x14ac:dyDescent="0.25">
      <c r="A1130" s="2" t="s">
        <v>2103</v>
      </c>
      <c r="B1130" s="3" t="s">
        <v>46</v>
      </c>
      <c r="C1130" s="3" t="s">
        <v>2116</v>
      </c>
      <c r="D1130" s="94" t="s">
        <v>2117</v>
      </c>
      <c r="E1130" s="94"/>
      <c r="F1130" s="3" t="s">
        <v>796</v>
      </c>
      <c r="G1130" s="25">
        <v>4</v>
      </c>
      <c r="H1130" s="45">
        <v>0</v>
      </c>
    </row>
    <row r="1131" spans="1:8" x14ac:dyDescent="0.25">
      <c r="A1131" s="2" t="s">
        <v>2106</v>
      </c>
      <c r="B1131" s="3" t="s">
        <v>46</v>
      </c>
      <c r="C1131" s="3" t="s">
        <v>2119</v>
      </c>
      <c r="D1131" s="94" t="s">
        <v>2120</v>
      </c>
      <c r="E1131" s="94"/>
      <c r="F1131" s="3" t="s">
        <v>796</v>
      </c>
      <c r="G1131" s="25">
        <v>5</v>
      </c>
      <c r="H1131" s="45">
        <v>0</v>
      </c>
    </row>
    <row r="1132" spans="1:8" x14ac:dyDescent="0.25">
      <c r="A1132" s="2" t="s">
        <v>2109</v>
      </c>
      <c r="B1132" s="3" t="s">
        <v>46</v>
      </c>
      <c r="C1132" s="3" t="s">
        <v>2122</v>
      </c>
      <c r="D1132" s="94" t="s">
        <v>2123</v>
      </c>
      <c r="E1132" s="94"/>
      <c r="F1132" s="3" t="s">
        <v>52</v>
      </c>
      <c r="G1132" s="25">
        <v>1</v>
      </c>
      <c r="H1132" s="45">
        <v>0</v>
      </c>
    </row>
    <row r="1133" spans="1:8" x14ac:dyDescent="0.25">
      <c r="A1133" s="58" t="s">
        <v>46</v>
      </c>
      <c r="B1133" s="29" t="s">
        <v>46</v>
      </c>
      <c r="C1133" s="29" t="s">
        <v>2124</v>
      </c>
      <c r="D1133" s="151" t="s">
        <v>2125</v>
      </c>
      <c r="E1133" s="151"/>
      <c r="F1133" s="29" t="s">
        <v>46</v>
      </c>
      <c r="G1133" s="11" t="s">
        <v>46</v>
      </c>
      <c r="H1133" s="31" t="s">
        <v>46</v>
      </c>
    </row>
    <row r="1134" spans="1:8" x14ac:dyDescent="0.25">
      <c r="A1134" s="2" t="s">
        <v>2112</v>
      </c>
      <c r="B1134" s="3" t="s">
        <v>46</v>
      </c>
      <c r="C1134" s="3" t="s">
        <v>2127</v>
      </c>
      <c r="D1134" s="94" t="s">
        <v>2128</v>
      </c>
      <c r="E1134" s="94"/>
      <c r="F1134" s="3" t="s">
        <v>52</v>
      </c>
      <c r="G1134" s="25">
        <v>1</v>
      </c>
      <c r="H1134" s="45">
        <v>0</v>
      </c>
    </row>
    <row r="1135" spans="1:8" x14ac:dyDescent="0.25">
      <c r="A1135" s="2" t="s">
        <v>2115</v>
      </c>
      <c r="B1135" s="3" t="s">
        <v>46</v>
      </c>
      <c r="C1135" s="3" t="s">
        <v>2131</v>
      </c>
      <c r="D1135" s="94" t="s">
        <v>2132</v>
      </c>
      <c r="E1135" s="94"/>
      <c r="F1135" s="3" t="s">
        <v>52</v>
      </c>
      <c r="G1135" s="25">
        <v>2</v>
      </c>
      <c r="H1135" s="45">
        <v>0</v>
      </c>
    </row>
    <row r="1136" spans="1:8" x14ac:dyDescent="0.25">
      <c r="A1136" s="2" t="s">
        <v>2118</v>
      </c>
      <c r="B1136" s="3" t="s">
        <v>46</v>
      </c>
      <c r="C1136" s="3" t="s">
        <v>2134</v>
      </c>
      <c r="D1136" s="94" t="s">
        <v>2135</v>
      </c>
      <c r="E1136" s="94"/>
      <c r="F1136" s="3" t="s">
        <v>52</v>
      </c>
      <c r="G1136" s="25">
        <v>11</v>
      </c>
      <c r="H1136" s="45">
        <v>0</v>
      </c>
    </row>
    <row r="1137" spans="1:8" x14ac:dyDescent="0.25">
      <c r="A1137" s="2" t="s">
        <v>2121</v>
      </c>
      <c r="B1137" s="3" t="s">
        <v>46</v>
      </c>
      <c r="C1137" s="3" t="s">
        <v>2137</v>
      </c>
      <c r="D1137" s="94" t="s">
        <v>2138</v>
      </c>
      <c r="E1137" s="94"/>
      <c r="F1137" s="3" t="s">
        <v>52</v>
      </c>
      <c r="G1137" s="25">
        <v>22</v>
      </c>
      <c r="H1137" s="45">
        <v>0</v>
      </c>
    </row>
    <row r="1138" spans="1:8" x14ac:dyDescent="0.25">
      <c r="A1138" s="2" t="s">
        <v>2126</v>
      </c>
      <c r="B1138" s="3" t="s">
        <v>46</v>
      </c>
      <c r="C1138" s="3" t="s">
        <v>2140</v>
      </c>
      <c r="D1138" s="94" t="s">
        <v>2141</v>
      </c>
      <c r="E1138" s="94"/>
      <c r="F1138" s="3" t="s">
        <v>52</v>
      </c>
      <c r="G1138" s="25">
        <v>11</v>
      </c>
      <c r="H1138" s="45">
        <v>0</v>
      </c>
    </row>
    <row r="1139" spans="1:8" x14ac:dyDescent="0.25">
      <c r="A1139" s="2" t="s">
        <v>2130</v>
      </c>
      <c r="B1139" s="3" t="s">
        <v>46</v>
      </c>
      <c r="C1139" s="3" t="s">
        <v>2143</v>
      </c>
      <c r="D1139" s="94" t="s">
        <v>2144</v>
      </c>
      <c r="E1139" s="94"/>
      <c r="F1139" s="3" t="s">
        <v>52</v>
      </c>
      <c r="G1139" s="25">
        <v>1</v>
      </c>
      <c r="H1139" s="45">
        <v>0</v>
      </c>
    </row>
    <row r="1140" spans="1:8" x14ac:dyDescent="0.25">
      <c r="A1140" s="2" t="s">
        <v>2133</v>
      </c>
      <c r="B1140" s="3" t="s">
        <v>46</v>
      </c>
      <c r="C1140" s="3" t="s">
        <v>2146</v>
      </c>
      <c r="D1140" s="94" t="s">
        <v>2147</v>
      </c>
      <c r="E1140" s="94"/>
      <c r="F1140" s="3" t="s">
        <v>52</v>
      </c>
      <c r="G1140" s="25">
        <v>2</v>
      </c>
      <c r="H1140" s="45">
        <v>0</v>
      </c>
    </row>
    <row r="1141" spans="1:8" x14ac:dyDescent="0.25">
      <c r="A1141" s="2" t="s">
        <v>2136</v>
      </c>
      <c r="B1141" s="3" t="s">
        <v>46</v>
      </c>
      <c r="C1141" s="3" t="s">
        <v>2149</v>
      </c>
      <c r="D1141" s="94" t="s">
        <v>2150</v>
      </c>
      <c r="E1141" s="94"/>
      <c r="F1141" s="3" t="s">
        <v>52</v>
      </c>
      <c r="G1141" s="25">
        <v>24</v>
      </c>
      <c r="H1141" s="45">
        <v>0</v>
      </c>
    </row>
    <row r="1142" spans="1:8" x14ac:dyDescent="0.25">
      <c r="A1142" s="2" t="s">
        <v>2139</v>
      </c>
      <c r="B1142" s="3" t="s">
        <v>46</v>
      </c>
      <c r="C1142" s="3" t="s">
        <v>2152</v>
      </c>
      <c r="D1142" s="94" t="s">
        <v>2153</v>
      </c>
      <c r="E1142" s="94"/>
      <c r="F1142" s="3" t="s">
        <v>52</v>
      </c>
      <c r="G1142" s="25">
        <v>2</v>
      </c>
      <c r="H1142" s="45">
        <v>0</v>
      </c>
    </row>
    <row r="1143" spans="1:8" x14ac:dyDescent="0.25">
      <c r="A1143" s="2" t="s">
        <v>2142</v>
      </c>
      <c r="B1143" s="3" t="s">
        <v>46</v>
      </c>
      <c r="C1143" s="3" t="s">
        <v>2155</v>
      </c>
      <c r="D1143" s="94" t="s">
        <v>2156</v>
      </c>
      <c r="E1143" s="94"/>
      <c r="F1143" s="3" t="s">
        <v>52</v>
      </c>
      <c r="G1143" s="25">
        <v>2</v>
      </c>
      <c r="H1143" s="45">
        <v>0</v>
      </c>
    </row>
    <row r="1144" spans="1:8" x14ac:dyDescent="0.25">
      <c r="A1144" s="2" t="s">
        <v>2145</v>
      </c>
      <c r="B1144" s="3" t="s">
        <v>46</v>
      </c>
      <c r="C1144" s="3" t="s">
        <v>2158</v>
      </c>
      <c r="D1144" s="94" t="s">
        <v>2159</v>
      </c>
      <c r="E1144" s="94"/>
      <c r="F1144" s="3" t="s">
        <v>52</v>
      </c>
      <c r="G1144" s="25">
        <v>2</v>
      </c>
      <c r="H1144" s="45">
        <v>0</v>
      </c>
    </row>
    <row r="1145" spans="1:8" x14ac:dyDescent="0.25">
      <c r="A1145" s="2" t="s">
        <v>2148</v>
      </c>
      <c r="B1145" s="3" t="s">
        <v>46</v>
      </c>
      <c r="C1145" s="3" t="s">
        <v>2161</v>
      </c>
      <c r="D1145" s="94" t="s">
        <v>2162</v>
      </c>
      <c r="E1145" s="94"/>
      <c r="F1145" s="3" t="s">
        <v>52</v>
      </c>
      <c r="G1145" s="25">
        <v>94</v>
      </c>
      <c r="H1145" s="45">
        <v>0</v>
      </c>
    </row>
    <row r="1146" spans="1:8" x14ac:dyDescent="0.25">
      <c r="A1146" s="2" t="s">
        <v>2151</v>
      </c>
      <c r="B1146" s="3" t="s">
        <v>46</v>
      </c>
      <c r="C1146" s="3" t="s">
        <v>2164</v>
      </c>
      <c r="D1146" s="94" t="s">
        <v>2165</v>
      </c>
      <c r="E1146" s="94"/>
      <c r="F1146" s="3" t="s">
        <v>52</v>
      </c>
      <c r="G1146" s="25">
        <v>74</v>
      </c>
      <c r="H1146" s="45">
        <v>0</v>
      </c>
    </row>
    <row r="1147" spans="1:8" x14ac:dyDescent="0.25">
      <c r="A1147" s="2" t="s">
        <v>2154</v>
      </c>
      <c r="B1147" s="3" t="s">
        <v>46</v>
      </c>
      <c r="C1147" s="3" t="s">
        <v>2167</v>
      </c>
      <c r="D1147" s="94" t="s">
        <v>2168</v>
      </c>
      <c r="E1147" s="94"/>
      <c r="F1147" s="3" t="s">
        <v>131</v>
      </c>
      <c r="G1147" s="25">
        <v>16750</v>
      </c>
      <c r="H1147" s="45">
        <v>0</v>
      </c>
    </row>
    <row r="1148" spans="1:8" x14ac:dyDescent="0.25">
      <c r="A1148" s="2" t="s">
        <v>2157</v>
      </c>
      <c r="B1148" s="3" t="s">
        <v>46</v>
      </c>
      <c r="C1148" s="3" t="s">
        <v>2170</v>
      </c>
      <c r="D1148" s="94" t="s">
        <v>2171</v>
      </c>
      <c r="E1148" s="94"/>
      <c r="F1148" s="3" t="s">
        <v>131</v>
      </c>
      <c r="G1148" s="25">
        <v>150</v>
      </c>
      <c r="H1148" s="45">
        <v>0</v>
      </c>
    </row>
    <row r="1149" spans="1:8" x14ac:dyDescent="0.25">
      <c r="A1149" s="2" t="s">
        <v>2160</v>
      </c>
      <c r="B1149" s="3" t="s">
        <v>46</v>
      </c>
      <c r="C1149" s="3" t="s">
        <v>2173</v>
      </c>
      <c r="D1149" s="94" t="s">
        <v>2174</v>
      </c>
      <c r="E1149" s="94"/>
      <c r="F1149" s="3" t="s">
        <v>131</v>
      </c>
      <c r="G1149" s="25">
        <v>50</v>
      </c>
      <c r="H1149" s="45">
        <v>0</v>
      </c>
    </row>
    <row r="1150" spans="1:8" x14ac:dyDescent="0.25">
      <c r="A1150" s="2" t="s">
        <v>2163</v>
      </c>
      <c r="B1150" s="3" t="s">
        <v>46</v>
      </c>
      <c r="C1150" s="3" t="s">
        <v>2176</v>
      </c>
      <c r="D1150" s="94" t="s">
        <v>2177</v>
      </c>
      <c r="E1150" s="94"/>
      <c r="F1150" s="3" t="s">
        <v>131</v>
      </c>
      <c r="G1150" s="25">
        <v>20</v>
      </c>
      <c r="H1150" s="45">
        <v>0</v>
      </c>
    </row>
    <row r="1151" spans="1:8" x14ac:dyDescent="0.25">
      <c r="A1151" s="2" t="s">
        <v>2166</v>
      </c>
      <c r="B1151" s="3" t="s">
        <v>46</v>
      </c>
      <c r="C1151" s="3" t="s">
        <v>2179</v>
      </c>
      <c r="D1151" s="94" t="s">
        <v>2180</v>
      </c>
      <c r="E1151" s="94"/>
      <c r="F1151" s="3" t="s">
        <v>131</v>
      </c>
      <c r="G1151" s="25">
        <v>850</v>
      </c>
      <c r="H1151" s="45">
        <v>0</v>
      </c>
    </row>
    <row r="1152" spans="1:8" x14ac:dyDescent="0.25">
      <c r="A1152" s="2" t="s">
        <v>2169</v>
      </c>
      <c r="B1152" s="3" t="s">
        <v>46</v>
      </c>
      <c r="C1152" s="3" t="s">
        <v>2182</v>
      </c>
      <c r="D1152" s="94" t="s">
        <v>2183</v>
      </c>
      <c r="E1152" s="94"/>
      <c r="F1152" s="3" t="s">
        <v>131</v>
      </c>
      <c r="G1152" s="25">
        <v>450</v>
      </c>
      <c r="H1152" s="45">
        <v>0</v>
      </c>
    </row>
    <row r="1153" spans="1:8" x14ac:dyDescent="0.25">
      <c r="A1153" s="2" t="s">
        <v>2172</v>
      </c>
      <c r="B1153" s="3" t="s">
        <v>46</v>
      </c>
      <c r="C1153" s="3" t="s">
        <v>2185</v>
      </c>
      <c r="D1153" s="94" t="s">
        <v>2186</v>
      </c>
      <c r="E1153" s="94"/>
      <c r="F1153" s="3" t="s">
        <v>131</v>
      </c>
      <c r="G1153" s="25">
        <v>600</v>
      </c>
      <c r="H1153" s="45">
        <v>0</v>
      </c>
    </row>
    <row r="1154" spans="1:8" x14ac:dyDescent="0.25">
      <c r="A1154" s="2" t="s">
        <v>2175</v>
      </c>
      <c r="B1154" s="3" t="s">
        <v>46</v>
      </c>
      <c r="C1154" s="3" t="s">
        <v>2188</v>
      </c>
      <c r="D1154" s="94" t="s">
        <v>2189</v>
      </c>
      <c r="E1154" s="94"/>
      <c r="F1154" s="3" t="s">
        <v>52</v>
      </c>
      <c r="G1154" s="25">
        <v>140</v>
      </c>
      <c r="H1154" s="45">
        <v>0</v>
      </c>
    </row>
    <row r="1155" spans="1:8" x14ac:dyDescent="0.25">
      <c r="A1155" s="2" t="s">
        <v>2178</v>
      </c>
      <c r="B1155" s="3" t="s">
        <v>46</v>
      </c>
      <c r="C1155" s="3" t="s">
        <v>2191</v>
      </c>
      <c r="D1155" s="94" t="s">
        <v>2192</v>
      </c>
      <c r="E1155" s="94"/>
      <c r="F1155" s="3" t="s">
        <v>52</v>
      </c>
      <c r="G1155" s="25">
        <v>50</v>
      </c>
      <c r="H1155" s="45">
        <v>0</v>
      </c>
    </row>
    <row r="1156" spans="1:8" x14ac:dyDescent="0.25">
      <c r="A1156" s="2" t="s">
        <v>2181</v>
      </c>
      <c r="B1156" s="3" t="s">
        <v>46</v>
      </c>
      <c r="C1156" s="3" t="s">
        <v>2194</v>
      </c>
      <c r="D1156" s="94" t="s">
        <v>2195</v>
      </c>
      <c r="E1156" s="94"/>
      <c r="F1156" s="3" t="s">
        <v>52</v>
      </c>
      <c r="G1156" s="25">
        <v>50</v>
      </c>
      <c r="H1156" s="45">
        <v>0</v>
      </c>
    </row>
    <row r="1157" spans="1:8" x14ac:dyDescent="0.25">
      <c r="A1157" s="2" t="s">
        <v>2184</v>
      </c>
      <c r="B1157" s="3" t="s">
        <v>46</v>
      </c>
      <c r="C1157" s="3" t="s">
        <v>2197</v>
      </c>
      <c r="D1157" s="94" t="s">
        <v>2198</v>
      </c>
      <c r="E1157" s="94"/>
      <c r="F1157" s="3" t="s">
        <v>131</v>
      </c>
      <c r="G1157" s="25">
        <v>200</v>
      </c>
      <c r="H1157" s="45">
        <v>0</v>
      </c>
    </row>
    <row r="1158" spans="1:8" x14ac:dyDescent="0.25">
      <c r="A1158" s="2" t="s">
        <v>2187</v>
      </c>
      <c r="B1158" s="3" t="s">
        <v>46</v>
      </c>
      <c r="C1158" s="3" t="s">
        <v>2200</v>
      </c>
      <c r="D1158" s="94" t="s">
        <v>2201</v>
      </c>
      <c r="E1158" s="94"/>
      <c r="F1158" s="3" t="s">
        <v>131</v>
      </c>
      <c r="G1158" s="25">
        <v>350</v>
      </c>
      <c r="H1158" s="45">
        <v>0</v>
      </c>
    </row>
    <row r="1159" spans="1:8" x14ac:dyDescent="0.25">
      <c r="A1159" s="2" t="s">
        <v>2190</v>
      </c>
      <c r="B1159" s="3" t="s">
        <v>46</v>
      </c>
      <c r="C1159" s="3" t="s">
        <v>2203</v>
      </c>
      <c r="D1159" s="94" t="s">
        <v>2204</v>
      </c>
      <c r="E1159" s="94"/>
      <c r="F1159" s="3" t="s">
        <v>52</v>
      </c>
      <c r="G1159" s="25">
        <v>262</v>
      </c>
      <c r="H1159" s="45">
        <v>0</v>
      </c>
    </row>
    <row r="1160" spans="1:8" x14ac:dyDescent="0.25">
      <c r="A1160" s="2" t="s">
        <v>2193</v>
      </c>
      <c r="B1160" s="3" t="s">
        <v>46</v>
      </c>
      <c r="C1160" s="3" t="s">
        <v>2206</v>
      </c>
      <c r="D1160" s="94" t="s">
        <v>2207</v>
      </c>
      <c r="E1160" s="94"/>
      <c r="F1160" s="3" t="s">
        <v>52</v>
      </c>
      <c r="G1160" s="25">
        <v>524</v>
      </c>
      <c r="H1160" s="45">
        <v>0</v>
      </c>
    </row>
    <row r="1161" spans="1:8" x14ac:dyDescent="0.25">
      <c r="A1161" s="2" t="s">
        <v>2196</v>
      </c>
      <c r="B1161" s="3" t="s">
        <v>46</v>
      </c>
      <c r="C1161" s="3" t="s">
        <v>2209</v>
      </c>
      <c r="D1161" s="94" t="s">
        <v>2210</v>
      </c>
      <c r="E1161" s="94"/>
      <c r="F1161" s="3" t="s">
        <v>52</v>
      </c>
      <c r="G1161" s="25">
        <v>524</v>
      </c>
      <c r="H1161" s="45">
        <v>0</v>
      </c>
    </row>
    <row r="1162" spans="1:8" x14ac:dyDescent="0.25">
      <c r="A1162" s="2" t="s">
        <v>2199</v>
      </c>
      <c r="B1162" s="3" t="s">
        <v>46</v>
      </c>
      <c r="C1162" s="3" t="s">
        <v>2212</v>
      </c>
      <c r="D1162" s="94" t="s">
        <v>2213</v>
      </c>
      <c r="E1162" s="94"/>
      <c r="F1162" s="3" t="s">
        <v>52</v>
      </c>
      <c r="G1162" s="25">
        <v>262</v>
      </c>
      <c r="H1162" s="45">
        <v>0</v>
      </c>
    </row>
    <row r="1163" spans="1:8" x14ac:dyDescent="0.25">
      <c r="A1163" s="2" t="s">
        <v>2202</v>
      </c>
      <c r="B1163" s="3" t="s">
        <v>46</v>
      </c>
      <c r="C1163" s="3" t="s">
        <v>2215</v>
      </c>
      <c r="D1163" s="94" t="s">
        <v>2216</v>
      </c>
      <c r="E1163" s="94"/>
      <c r="F1163" s="3" t="s">
        <v>52</v>
      </c>
      <c r="G1163" s="25">
        <v>262</v>
      </c>
      <c r="H1163" s="45">
        <v>0</v>
      </c>
    </row>
    <row r="1164" spans="1:8" x14ac:dyDescent="0.25">
      <c r="A1164" s="2" t="s">
        <v>2205</v>
      </c>
      <c r="B1164" s="3" t="s">
        <v>46</v>
      </c>
      <c r="C1164" s="3" t="s">
        <v>2218</v>
      </c>
      <c r="D1164" s="94" t="s">
        <v>2219</v>
      </c>
      <c r="E1164" s="94"/>
      <c r="F1164" s="3" t="s">
        <v>52</v>
      </c>
      <c r="G1164" s="25">
        <v>1</v>
      </c>
      <c r="H1164" s="45">
        <v>0</v>
      </c>
    </row>
    <row r="1165" spans="1:8" x14ac:dyDescent="0.25">
      <c r="A1165" s="2" t="s">
        <v>2208</v>
      </c>
      <c r="B1165" s="3" t="s">
        <v>46</v>
      </c>
      <c r="C1165" s="3" t="s">
        <v>2221</v>
      </c>
      <c r="D1165" s="94" t="s">
        <v>2222</v>
      </c>
      <c r="E1165" s="94"/>
      <c r="F1165" s="3" t="s">
        <v>52</v>
      </c>
      <c r="G1165" s="25">
        <v>2</v>
      </c>
      <c r="H1165" s="45">
        <v>0</v>
      </c>
    </row>
    <row r="1166" spans="1:8" x14ac:dyDescent="0.25">
      <c r="A1166" s="2" t="s">
        <v>2211</v>
      </c>
      <c r="B1166" s="3" t="s">
        <v>46</v>
      </c>
      <c r="C1166" s="3" t="s">
        <v>2224</v>
      </c>
      <c r="D1166" s="94" t="s">
        <v>2225</v>
      </c>
      <c r="E1166" s="94"/>
      <c r="F1166" s="3" t="s">
        <v>52</v>
      </c>
      <c r="G1166" s="25">
        <v>2</v>
      </c>
      <c r="H1166" s="45">
        <v>0</v>
      </c>
    </row>
    <row r="1167" spans="1:8" x14ac:dyDescent="0.25">
      <c r="A1167" s="2" t="s">
        <v>2214</v>
      </c>
      <c r="B1167" s="3" t="s">
        <v>46</v>
      </c>
      <c r="C1167" s="3" t="s">
        <v>2227</v>
      </c>
      <c r="D1167" s="94" t="s">
        <v>2228</v>
      </c>
      <c r="E1167" s="94"/>
      <c r="F1167" s="3" t="s">
        <v>52</v>
      </c>
      <c r="G1167" s="25">
        <v>12</v>
      </c>
      <c r="H1167" s="45">
        <v>0</v>
      </c>
    </row>
    <row r="1168" spans="1:8" x14ac:dyDescent="0.25">
      <c r="A1168" s="2" t="s">
        <v>2217</v>
      </c>
      <c r="B1168" s="3" t="s">
        <v>46</v>
      </c>
      <c r="C1168" s="3" t="s">
        <v>2230</v>
      </c>
      <c r="D1168" s="94" t="s">
        <v>2231</v>
      </c>
      <c r="E1168" s="94"/>
      <c r="F1168" s="3" t="s">
        <v>52</v>
      </c>
      <c r="G1168" s="25">
        <v>12</v>
      </c>
      <c r="H1168" s="45">
        <v>0</v>
      </c>
    </row>
    <row r="1169" spans="1:8" x14ac:dyDescent="0.25">
      <c r="A1169" s="2" t="s">
        <v>2220</v>
      </c>
      <c r="B1169" s="3" t="s">
        <v>46</v>
      </c>
      <c r="C1169" s="3" t="s">
        <v>2233</v>
      </c>
      <c r="D1169" s="94" t="s">
        <v>2234</v>
      </c>
      <c r="E1169" s="94"/>
      <c r="F1169" s="3" t="s">
        <v>52</v>
      </c>
      <c r="G1169" s="25">
        <v>1</v>
      </c>
      <c r="H1169" s="45">
        <v>0</v>
      </c>
    </row>
    <row r="1170" spans="1:8" x14ac:dyDescent="0.25">
      <c r="A1170" s="2" t="s">
        <v>2223</v>
      </c>
      <c r="B1170" s="3" t="s">
        <v>46</v>
      </c>
      <c r="C1170" s="3" t="s">
        <v>2236</v>
      </c>
      <c r="D1170" s="94" t="s">
        <v>2237</v>
      </c>
      <c r="E1170" s="94"/>
      <c r="F1170" s="3" t="s">
        <v>52</v>
      </c>
      <c r="G1170" s="25">
        <v>1</v>
      </c>
      <c r="H1170" s="45">
        <v>0</v>
      </c>
    </row>
    <row r="1171" spans="1:8" x14ac:dyDescent="0.25">
      <c r="A1171" s="2" t="s">
        <v>2226</v>
      </c>
      <c r="B1171" s="3" t="s">
        <v>46</v>
      </c>
      <c r="C1171" s="3" t="s">
        <v>2239</v>
      </c>
      <c r="D1171" s="94" t="s">
        <v>2240</v>
      </c>
      <c r="E1171" s="94"/>
      <c r="F1171" s="3" t="s">
        <v>52</v>
      </c>
      <c r="G1171" s="25">
        <v>1</v>
      </c>
      <c r="H1171" s="45">
        <v>0</v>
      </c>
    </row>
    <row r="1172" spans="1:8" x14ac:dyDescent="0.25">
      <c r="A1172" s="58" t="s">
        <v>46</v>
      </c>
      <c r="B1172" s="29" t="s">
        <v>46</v>
      </c>
      <c r="C1172" s="29" t="s">
        <v>2241</v>
      </c>
      <c r="D1172" s="151" t="s">
        <v>2242</v>
      </c>
      <c r="E1172" s="151"/>
      <c r="F1172" s="29" t="s">
        <v>46</v>
      </c>
      <c r="G1172" s="11" t="s">
        <v>46</v>
      </c>
      <c r="H1172" s="31" t="s">
        <v>46</v>
      </c>
    </row>
    <row r="1173" spans="1:8" x14ac:dyDescent="0.25">
      <c r="A1173" s="2" t="s">
        <v>2229</v>
      </c>
      <c r="B1173" s="3" t="s">
        <v>46</v>
      </c>
      <c r="C1173" s="3" t="s">
        <v>2244</v>
      </c>
      <c r="D1173" s="94" t="s">
        <v>2245</v>
      </c>
      <c r="E1173" s="94"/>
      <c r="F1173" s="3" t="s">
        <v>52</v>
      </c>
      <c r="G1173" s="25">
        <v>1</v>
      </c>
      <c r="H1173" s="45">
        <v>0</v>
      </c>
    </row>
    <row r="1174" spans="1:8" x14ac:dyDescent="0.25">
      <c r="A1174" s="2" t="s">
        <v>2232</v>
      </c>
      <c r="B1174" s="3" t="s">
        <v>46</v>
      </c>
      <c r="C1174" s="3" t="s">
        <v>2248</v>
      </c>
      <c r="D1174" s="94" t="s">
        <v>2249</v>
      </c>
      <c r="E1174" s="94"/>
      <c r="F1174" s="3" t="s">
        <v>52</v>
      </c>
      <c r="G1174" s="25">
        <v>1</v>
      </c>
      <c r="H1174" s="45">
        <v>0</v>
      </c>
    </row>
    <row r="1175" spans="1:8" x14ac:dyDescent="0.25">
      <c r="A1175" s="2" t="s">
        <v>2235</v>
      </c>
      <c r="B1175" s="3" t="s">
        <v>46</v>
      </c>
      <c r="C1175" s="3" t="s">
        <v>2251</v>
      </c>
      <c r="D1175" s="94" t="s">
        <v>2252</v>
      </c>
      <c r="E1175" s="94"/>
      <c r="F1175" s="3" t="s">
        <v>52</v>
      </c>
      <c r="G1175" s="25">
        <v>2</v>
      </c>
      <c r="H1175" s="45">
        <v>0</v>
      </c>
    </row>
    <row r="1176" spans="1:8" x14ac:dyDescent="0.25">
      <c r="A1176" s="2" t="s">
        <v>2238</v>
      </c>
      <c r="B1176" s="3" t="s">
        <v>46</v>
      </c>
      <c r="C1176" s="3" t="s">
        <v>2254</v>
      </c>
      <c r="D1176" s="94" t="s">
        <v>2255</v>
      </c>
      <c r="E1176" s="94"/>
      <c r="F1176" s="3" t="s">
        <v>52</v>
      </c>
      <c r="G1176" s="25">
        <v>3</v>
      </c>
      <c r="H1176" s="45">
        <v>0</v>
      </c>
    </row>
    <row r="1177" spans="1:8" x14ac:dyDescent="0.25">
      <c r="A1177" s="2" t="s">
        <v>2243</v>
      </c>
      <c r="B1177" s="3" t="s">
        <v>46</v>
      </c>
      <c r="C1177" s="3" t="s">
        <v>2257</v>
      </c>
      <c r="D1177" s="94" t="s">
        <v>2258</v>
      </c>
      <c r="E1177" s="94"/>
      <c r="F1177" s="3" t="s">
        <v>52</v>
      </c>
      <c r="G1177" s="25">
        <v>6</v>
      </c>
      <c r="H1177" s="45">
        <v>0</v>
      </c>
    </row>
    <row r="1178" spans="1:8" x14ac:dyDescent="0.25">
      <c r="A1178" s="2" t="s">
        <v>2247</v>
      </c>
      <c r="B1178" s="3" t="s">
        <v>46</v>
      </c>
      <c r="C1178" s="3" t="s">
        <v>2260</v>
      </c>
      <c r="D1178" s="94" t="s">
        <v>2261</v>
      </c>
      <c r="E1178" s="94"/>
      <c r="F1178" s="3" t="s">
        <v>52</v>
      </c>
      <c r="G1178" s="25">
        <v>22</v>
      </c>
      <c r="H1178" s="45">
        <v>0</v>
      </c>
    </row>
    <row r="1179" spans="1:8" x14ac:dyDescent="0.25">
      <c r="A1179" s="2" t="s">
        <v>2250</v>
      </c>
      <c r="B1179" s="3" t="s">
        <v>46</v>
      </c>
      <c r="C1179" s="3" t="s">
        <v>2263</v>
      </c>
      <c r="D1179" s="94" t="s">
        <v>2264</v>
      </c>
      <c r="E1179" s="94"/>
      <c r="F1179" s="3" t="s">
        <v>131</v>
      </c>
      <c r="G1179" s="25">
        <v>350</v>
      </c>
      <c r="H1179" s="45">
        <v>0</v>
      </c>
    </row>
    <row r="1180" spans="1:8" x14ac:dyDescent="0.25">
      <c r="A1180" s="2" t="s">
        <v>2253</v>
      </c>
      <c r="B1180" s="3" t="s">
        <v>46</v>
      </c>
      <c r="C1180" s="3" t="s">
        <v>2266</v>
      </c>
      <c r="D1180" s="94" t="s">
        <v>2267</v>
      </c>
      <c r="E1180" s="94"/>
      <c r="F1180" s="3" t="s">
        <v>131</v>
      </c>
      <c r="G1180" s="25">
        <v>50</v>
      </c>
      <c r="H1180" s="45">
        <v>0</v>
      </c>
    </row>
    <row r="1181" spans="1:8" x14ac:dyDescent="0.25">
      <c r="A1181" s="2" t="s">
        <v>2256</v>
      </c>
      <c r="B1181" s="3" t="s">
        <v>46</v>
      </c>
      <c r="C1181" s="3" t="s">
        <v>2269</v>
      </c>
      <c r="D1181" s="94" t="s">
        <v>2270</v>
      </c>
      <c r="E1181" s="94"/>
      <c r="F1181" s="3" t="s">
        <v>131</v>
      </c>
      <c r="G1181" s="25">
        <v>50</v>
      </c>
      <c r="H1181" s="45">
        <v>0</v>
      </c>
    </row>
    <row r="1182" spans="1:8" x14ac:dyDescent="0.25">
      <c r="A1182" s="2" t="s">
        <v>2259</v>
      </c>
      <c r="B1182" s="3" t="s">
        <v>46</v>
      </c>
      <c r="C1182" s="3" t="s">
        <v>2271</v>
      </c>
      <c r="D1182" s="94" t="s">
        <v>2272</v>
      </c>
      <c r="E1182" s="94"/>
      <c r="F1182" s="3" t="s">
        <v>52</v>
      </c>
      <c r="G1182" s="25">
        <v>35</v>
      </c>
      <c r="H1182" s="45">
        <v>0</v>
      </c>
    </row>
    <row r="1183" spans="1:8" x14ac:dyDescent="0.25">
      <c r="A1183" s="2" t="s">
        <v>2262</v>
      </c>
      <c r="B1183" s="3" t="s">
        <v>46</v>
      </c>
      <c r="C1183" s="3" t="s">
        <v>2273</v>
      </c>
      <c r="D1183" s="94" t="s">
        <v>2195</v>
      </c>
      <c r="E1183" s="94"/>
      <c r="F1183" s="3" t="s">
        <v>52</v>
      </c>
      <c r="G1183" s="25">
        <v>35</v>
      </c>
      <c r="H1183" s="45">
        <v>0</v>
      </c>
    </row>
    <row r="1184" spans="1:8" x14ac:dyDescent="0.25">
      <c r="A1184" s="2" t="s">
        <v>2265</v>
      </c>
      <c r="B1184" s="3" t="s">
        <v>46</v>
      </c>
      <c r="C1184" s="3" t="s">
        <v>2275</v>
      </c>
      <c r="D1184" s="94" t="s">
        <v>2276</v>
      </c>
      <c r="E1184" s="94"/>
      <c r="F1184" s="3" t="s">
        <v>131</v>
      </c>
      <c r="G1184" s="25">
        <v>25</v>
      </c>
      <c r="H1184" s="45">
        <v>0</v>
      </c>
    </row>
    <row r="1185" spans="1:8" x14ac:dyDescent="0.25">
      <c r="A1185" s="2" t="s">
        <v>2268</v>
      </c>
      <c r="B1185" s="3" t="s">
        <v>46</v>
      </c>
      <c r="C1185" s="3" t="s">
        <v>2278</v>
      </c>
      <c r="D1185" s="94" t="s">
        <v>2279</v>
      </c>
      <c r="E1185" s="94"/>
      <c r="F1185" s="3" t="s">
        <v>131</v>
      </c>
      <c r="G1185" s="25">
        <v>25</v>
      </c>
      <c r="H1185" s="45">
        <v>0</v>
      </c>
    </row>
    <row r="1186" spans="1:8" x14ac:dyDescent="0.25">
      <c r="A1186" s="2" t="s">
        <v>539</v>
      </c>
      <c r="B1186" s="3" t="s">
        <v>46</v>
      </c>
      <c r="C1186" s="3" t="s">
        <v>2281</v>
      </c>
      <c r="D1186" s="94" t="s">
        <v>2282</v>
      </c>
      <c r="E1186" s="94"/>
      <c r="F1186" s="3" t="s">
        <v>52</v>
      </c>
      <c r="G1186" s="25">
        <v>1</v>
      </c>
      <c r="H1186" s="45">
        <v>0</v>
      </c>
    </row>
    <row r="1187" spans="1:8" x14ac:dyDescent="0.25">
      <c r="A1187" s="2" t="s">
        <v>555</v>
      </c>
      <c r="B1187" s="3" t="s">
        <v>46</v>
      </c>
      <c r="C1187" s="3" t="s">
        <v>2284</v>
      </c>
      <c r="D1187" s="94" t="s">
        <v>2285</v>
      </c>
      <c r="E1187" s="94"/>
      <c r="F1187" s="3" t="s">
        <v>52</v>
      </c>
      <c r="G1187" s="25">
        <v>1</v>
      </c>
      <c r="H1187" s="45">
        <v>0</v>
      </c>
    </row>
    <row r="1188" spans="1:8" x14ac:dyDescent="0.25">
      <c r="A1188" s="2" t="s">
        <v>2274</v>
      </c>
      <c r="B1188" s="3" t="s">
        <v>46</v>
      </c>
      <c r="C1188" s="3" t="s">
        <v>2287</v>
      </c>
      <c r="D1188" s="94" t="s">
        <v>2288</v>
      </c>
      <c r="E1188" s="94"/>
      <c r="F1188" s="3" t="s">
        <v>52</v>
      </c>
      <c r="G1188" s="25">
        <v>1</v>
      </c>
      <c r="H1188" s="45">
        <v>0</v>
      </c>
    </row>
    <row r="1189" spans="1:8" x14ac:dyDescent="0.25">
      <c r="A1189" s="2" t="s">
        <v>2277</v>
      </c>
      <c r="B1189" s="3" t="s">
        <v>46</v>
      </c>
      <c r="C1189" s="3" t="s">
        <v>2290</v>
      </c>
      <c r="D1189" s="94" t="s">
        <v>2291</v>
      </c>
      <c r="E1189" s="94"/>
      <c r="F1189" s="3" t="s">
        <v>52</v>
      </c>
      <c r="G1189" s="25">
        <v>1</v>
      </c>
      <c r="H1189" s="45">
        <v>0</v>
      </c>
    </row>
    <row r="1190" spans="1:8" x14ac:dyDescent="0.25">
      <c r="A1190" s="2" t="s">
        <v>2280</v>
      </c>
      <c r="B1190" s="3" t="s">
        <v>46</v>
      </c>
      <c r="C1190" s="3" t="s">
        <v>2293</v>
      </c>
      <c r="D1190" s="94" t="s">
        <v>2237</v>
      </c>
      <c r="E1190" s="94"/>
      <c r="F1190" s="3" t="s">
        <v>52</v>
      </c>
      <c r="G1190" s="25">
        <v>1</v>
      </c>
      <c r="H1190" s="45">
        <v>0</v>
      </c>
    </row>
    <row r="1191" spans="1:8" x14ac:dyDescent="0.25">
      <c r="A1191" s="2" t="s">
        <v>2283</v>
      </c>
      <c r="B1191" s="3" t="s">
        <v>46</v>
      </c>
      <c r="C1191" s="3" t="s">
        <v>2294</v>
      </c>
      <c r="D1191" s="94" t="s">
        <v>2240</v>
      </c>
      <c r="E1191" s="94"/>
      <c r="F1191" s="3" t="s">
        <v>52</v>
      </c>
      <c r="G1191" s="25">
        <v>1</v>
      </c>
      <c r="H1191" s="45">
        <v>0</v>
      </c>
    </row>
    <row r="1192" spans="1:8" x14ac:dyDescent="0.25">
      <c r="A1192" s="58" t="s">
        <v>46</v>
      </c>
      <c r="B1192" s="29" t="s">
        <v>46</v>
      </c>
      <c r="C1192" s="29" t="s">
        <v>2295</v>
      </c>
      <c r="D1192" s="151" t="s">
        <v>2296</v>
      </c>
      <c r="E1192" s="151"/>
      <c r="F1192" s="29" t="s">
        <v>46</v>
      </c>
      <c r="G1192" s="11" t="s">
        <v>46</v>
      </c>
      <c r="H1192" s="31" t="s">
        <v>46</v>
      </c>
    </row>
    <row r="1193" spans="1:8" x14ac:dyDescent="0.25">
      <c r="A1193" s="2" t="s">
        <v>2286</v>
      </c>
      <c r="B1193" s="3" t="s">
        <v>46</v>
      </c>
      <c r="C1193" s="3" t="s">
        <v>2297</v>
      </c>
      <c r="D1193" s="94" t="s">
        <v>2298</v>
      </c>
      <c r="E1193" s="94"/>
      <c r="F1193" s="3" t="s">
        <v>52</v>
      </c>
      <c r="G1193" s="25">
        <v>1</v>
      </c>
      <c r="H1193" s="45">
        <v>0</v>
      </c>
    </row>
    <row r="1194" spans="1:8" x14ac:dyDescent="0.25">
      <c r="A1194" s="2" t="s">
        <v>2289</v>
      </c>
      <c r="B1194" s="3" t="s">
        <v>46</v>
      </c>
      <c r="C1194" s="3" t="s">
        <v>2301</v>
      </c>
      <c r="D1194" s="94" t="s">
        <v>2302</v>
      </c>
      <c r="E1194" s="94"/>
      <c r="F1194" s="3" t="s">
        <v>52</v>
      </c>
      <c r="G1194" s="25">
        <v>4</v>
      </c>
      <c r="H1194" s="45">
        <v>0</v>
      </c>
    </row>
    <row r="1195" spans="1:8" x14ac:dyDescent="0.25">
      <c r="A1195" s="2" t="s">
        <v>2292</v>
      </c>
      <c r="B1195" s="3" t="s">
        <v>46</v>
      </c>
      <c r="C1195" s="3" t="s">
        <v>2304</v>
      </c>
      <c r="D1195" s="94" t="s">
        <v>2305</v>
      </c>
      <c r="E1195" s="94"/>
      <c r="F1195" s="3" t="s">
        <v>52</v>
      </c>
      <c r="G1195" s="25">
        <v>2</v>
      </c>
      <c r="H1195" s="45">
        <v>0</v>
      </c>
    </row>
    <row r="1196" spans="1:8" x14ac:dyDescent="0.25">
      <c r="A1196" s="2" t="s">
        <v>579</v>
      </c>
      <c r="B1196" s="3" t="s">
        <v>46</v>
      </c>
      <c r="C1196" s="3" t="s">
        <v>2307</v>
      </c>
      <c r="D1196" s="94" t="s">
        <v>2308</v>
      </c>
      <c r="E1196" s="94"/>
      <c r="F1196" s="3" t="s">
        <v>52</v>
      </c>
      <c r="G1196" s="25">
        <v>1</v>
      </c>
      <c r="H1196" s="45">
        <v>0</v>
      </c>
    </row>
    <row r="1197" spans="1:8" x14ac:dyDescent="0.25">
      <c r="A1197" s="2" t="s">
        <v>836</v>
      </c>
      <c r="B1197" s="3" t="s">
        <v>46</v>
      </c>
      <c r="C1197" s="3" t="s">
        <v>2310</v>
      </c>
      <c r="D1197" s="94" t="s">
        <v>2311</v>
      </c>
      <c r="E1197" s="94"/>
      <c r="F1197" s="3" t="s">
        <v>52</v>
      </c>
      <c r="G1197" s="25">
        <v>6</v>
      </c>
      <c r="H1197" s="45">
        <v>0</v>
      </c>
    </row>
    <row r="1198" spans="1:8" x14ac:dyDescent="0.25">
      <c r="A1198" s="2" t="s">
        <v>2300</v>
      </c>
      <c r="B1198" s="3" t="s">
        <v>46</v>
      </c>
      <c r="C1198" s="3" t="s">
        <v>2313</v>
      </c>
      <c r="D1198" s="94" t="s">
        <v>2314</v>
      </c>
      <c r="E1198" s="94"/>
      <c r="F1198" s="3" t="s">
        <v>131</v>
      </c>
      <c r="G1198" s="25">
        <v>690</v>
      </c>
      <c r="H1198" s="45">
        <v>0</v>
      </c>
    </row>
    <row r="1199" spans="1:8" x14ac:dyDescent="0.25">
      <c r="A1199" s="2" t="s">
        <v>2303</v>
      </c>
      <c r="B1199" s="3" t="s">
        <v>46</v>
      </c>
      <c r="C1199" s="3" t="s">
        <v>2315</v>
      </c>
      <c r="D1199" s="94" t="s">
        <v>2180</v>
      </c>
      <c r="E1199" s="94"/>
      <c r="F1199" s="3" t="s">
        <v>131</v>
      </c>
      <c r="G1199" s="25">
        <v>150</v>
      </c>
      <c r="H1199" s="45">
        <v>0</v>
      </c>
    </row>
    <row r="1200" spans="1:8" x14ac:dyDescent="0.25">
      <c r="A1200" s="2" t="s">
        <v>2306</v>
      </c>
      <c r="B1200" s="3" t="s">
        <v>46</v>
      </c>
      <c r="C1200" s="3" t="s">
        <v>2317</v>
      </c>
      <c r="D1200" s="94" t="s">
        <v>2186</v>
      </c>
      <c r="E1200" s="94"/>
      <c r="F1200" s="3" t="s">
        <v>131</v>
      </c>
      <c r="G1200" s="25">
        <v>150</v>
      </c>
      <c r="H1200" s="45">
        <v>0</v>
      </c>
    </row>
    <row r="1201" spans="1:8" x14ac:dyDescent="0.25">
      <c r="A1201" s="2" t="s">
        <v>2309</v>
      </c>
      <c r="B1201" s="3" t="s">
        <v>46</v>
      </c>
      <c r="C1201" s="3" t="s">
        <v>2319</v>
      </c>
      <c r="D1201" s="94" t="s">
        <v>2189</v>
      </c>
      <c r="E1201" s="94"/>
      <c r="F1201" s="3" t="s">
        <v>52</v>
      </c>
      <c r="G1201" s="25">
        <v>3</v>
      </c>
      <c r="H1201" s="45">
        <v>0</v>
      </c>
    </row>
    <row r="1202" spans="1:8" x14ac:dyDescent="0.25">
      <c r="A1202" s="2" t="s">
        <v>2312</v>
      </c>
      <c r="B1202" s="3" t="s">
        <v>46</v>
      </c>
      <c r="C1202" s="3" t="s">
        <v>2320</v>
      </c>
      <c r="D1202" s="94" t="s">
        <v>2192</v>
      </c>
      <c r="E1202" s="94"/>
      <c r="F1202" s="3" t="s">
        <v>52</v>
      </c>
      <c r="G1202" s="25">
        <v>10</v>
      </c>
      <c r="H1202" s="45">
        <v>0</v>
      </c>
    </row>
    <row r="1203" spans="1:8" x14ac:dyDescent="0.25">
      <c r="A1203" s="2" t="s">
        <v>1022</v>
      </c>
      <c r="B1203" s="3" t="s">
        <v>46</v>
      </c>
      <c r="C1203" s="3" t="s">
        <v>2322</v>
      </c>
      <c r="D1203" s="94" t="s">
        <v>2195</v>
      </c>
      <c r="E1203" s="94"/>
      <c r="F1203" s="3" t="s">
        <v>52</v>
      </c>
      <c r="G1203" s="25">
        <v>10</v>
      </c>
      <c r="H1203" s="45">
        <v>0</v>
      </c>
    </row>
    <row r="1204" spans="1:8" x14ac:dyDescent="0.25">
      <c r="A1204" s="2" t="s">
        <v>2316</v>
      </c>
      <c r="B1204" s="3" t="s">
        <v>46</v>
      </c>
      <c r="C1204" s="3" t="s">
        <v>2324</v>
      </c>
      <c r="D1204" s="94" t="s">
        <v>2325</v>
      </c>
      <c r="E1204" s="94"/>
      <c r="F1204" s="3" t="s">
        <v>52</v>
      </c>
      <c r="G1204" s="25">
        <v>1</v>
      </c>
      <c r="H1204" s="45">
        <v>0</v>
      </c>
    </row>
    <row r="1205" spans="1:8" x14ac:dyDescent="0.25">
      <c r="A1205" s="2" t="s">
        <v>2318</v>
      </c>
      <c r="B1205" s="3" t="s">
        <v>46</v>
      </c>
      <c r="C1205" s="3" t="s">
        <v>2327</v>
      </c>
      <c r="D1205" s="94" t="s">
        <v>2201</v>
      </c>
      <c r="E1205" s="94"/>
      <c r="F1205" s="3" t="s">
        <v>131</v>
      </c>
      <c r="G1205" s="25">
        <v>50</v>
      </c>
      <c r="H1205" s="45">
        <v>0</v>
      </c>
    </row>
    <row r="1206" spans="1:8" x14ac:dyDescent="0.25">
      <c r="A1206" s="2" t="s">
        <v>1239</v>
      </c>
      <c r="B1206" s="3" t="s">
        <v>46</v>
      </c>
      <c r="C1206" s="3" t="s">
        <v>2329</v>
      </c>
      <c r="D1206" s="94" t="s">
        <v>2330</v>
      </c>
      <c r="E1206" s="94"/>
      <c r="F1206" s="3" t="s">
        <v>52</v>
      </c>
      <c r="G1206" s="25">
        <v>9</v>
      </c>
      <c r="H1206" s="45">
        <v>0</v>
      </c>
    </row>
    <row r="1207" spans="1:8" x14ac:dyDescent="0.25">
      <c r="A1207" s="2" t="s">
        <v>2321</v>
      </c>
      <c r="B1207" s="3" t="s">
        <v>46</v>
      </c>
      <c r="C1207" s="3" t="s">
        <v>2332</v>
      </c>
      <c r="D1207" s="94" t="s">
        <v>2333</v>
      </c>
      <c r="E1207" s="94"/>
      <c r="F1207" s="3" t="s">
        <v>52</v>
      </c>
      <c r="G1207" s="25">
        <v>1</v>
      </c>
      <c r="H1207" s="45">
        <v>0</v>
      </c>
    </row>
    <row r="1208" spans="1:8" x14ac:dyDescent="0.25">
      <c r="A1208" s="2" t="s">
        <v>2323</v>
      </c>
      <c r="B1208" s="3" t="s">
        <v>46</v>
      </c>
      <c r="C1208" s="3" t="s">
        <v>2335</v>
      </c>
      <c r="D1208" s="94" t="s">
        <v>2336</v>
      </c>
      <c r="E1208" s="94"/>
      <c r="F1208" s="3" t="s">
        <v>52</v>
      </c>
      <c r="G1208" s="25">
        <v>6</v>
      </c>
      <c r="H1208" s="45">
        <v>0</v>
      </c>
    </row>
    <row r="1209" spans="1:8" x14ac:dyDescent="0.25">
      <c r="A1209" s="2" t="s">
        <v>2326</v>
      </c>
      <c r="B1209" s="3" t="s">
        <v>46</v>
      </c>
      <c r="C1209" s="3" t="s">
        <v>2338</v>
      </c>
      <c r="D1209" s="94" t="s">
        <v>2234</v>
      </c>
      <c r="E1209" s="94"/>
      <c r="F1209" s="3" t="s">
        <v>52</v>
      </c>
      <c r="G1209" s="25">
        <v>1</v>
      </c>
      <c r="H1209" s="45">
        <v>0</v>
      </c>
    </row>
    <row r="1210" spans="1:8" x14ac:dyDescent="0.25">
      <c r="A1210" s="2" t="s">
        <v>2328</v>
      </c>
      <c r="B1210" s="3" t="s">
        <v>46</v>
      </c>
      <c r="C1210" s="3" t="s">
        <v>2340</v>
      </c>
      <c r="D1210" s="94" t="s">
        <v>2237</v>
      </c>
      <c r="E1210" s="94"/>
      <c r="F1210" s="3" t="s">
        <v>52</v>
      </c>
      <c r="G1210" s="25">
        <v>1</v>
      </c>
      <c r="H1210" s="45">
        <v>0</v>
      </c>
    </row>
    <row r="1211" spans="1:8" x14ac:dyDescent="0.25">
      <c r="A1211" s="2" t="s">
        <v>2331</v>
      </c>
      <c r="B1211" s="3" t="s">
        <v>46</v>
      </c>
      <c r="C1211" s="3" t="s">
        <v>2342</v>
      </c>
      <c r="D1211" s="94" t="s">
        <v>2240</v>
      </c>
      <c r="E1211" s="94"/>
      <c r="F1211" s="3" t="s">
        <v>52</v>
      </c>
      <c r="G1211" s="25">
        <v>1</v>
      </c>
      <c r="H1211" s="45">
        <v>0</v>
      </c>
    </row>
    <row r="1212" spans="1:8" x14ac:dyDescent="0.25">
      <c r="A1212" s="58" t="s">
        <v>46</v>
      </c>
      <c r="B1212" s="29" t="s">
        <v>46</v>
      </c>
      <c r="C1212" s="29" t="s">
        <v>2343</v>
      </c>
      <c r="D1212" s="151" t="s">
        <v>2344</v>
      </c>
      <c r="E1212" s="151"/>
      <c r="F1212" s="29" t="s">
        <v>46</v>
      </c>
      <c r="G1212" s="11" t="s">
        <v>46</v>
      </c>
      <c r="H1212" s="31" t="s">
        <v>46</v>
      </c>
    </row>
    <row r="1213" spans="1:8" x14ac:dyDescent="0.25">
      <c r="A1213" s="2" t="s">
        <v>2334</v>
      </c>
      <c r="B1213" s="3" t="s">
        <v>46</v>
      </c>
      <c r="C1213" s="3" t="s">
        <v>2346</v>
      </c>
      <c r="D1213" s="94" t="s">
        <v>2347</v>
      </c>
      <c r="E1213" s="94"/>
      <c r="F1213" s="3" t="s">
        <v>52</v>
      </c>
      <c r="G1213" s="25">
        <v>15</v>
      </c>
      <c r="H1213" s="45">
        <v>0</v>
      </c>
    </row>
    <row r="1214" spans="1:8" x14ac:dyDescent="0.25">
      <c r="A1214" s="2" t="s">
        <v>2337</v>
      </c>
      <c r="B1214" s="3" t="s">
        <v>46</v>
      </c>
      <c r="C1214" s="3" t="s">
        <v>2350</v>
      </c>
      <c r="D1214" s="94" t="s">
        <v>2351</v>
      </c>
      <c r="E1214" s="94"/>
      <c r="F1214" s="3" t="s">
        <v>52</v>
      </c>
      <c r="G1214" s="25">
        <v>10</v>
      </c>
      <c r="H1214" s="45">
        <v>0</v>
      </c>
    </row>
    <row r="1215" spans="1:8" x14ac:dyDescent="0.25">
      <c r="A1215" s="2" t="s">
        <v>2339</v>
      </c>
      <c r="B1215" s="3" t="s">
        <v>46</v>
      </c>
      <c r="C1215" s="3" t="s">
        <v>2353</v>
      </c>
      <c r="D1215" s="94" t="s">
        <v>2354</v>
      </c>
      <c r="E1215" s="94"/>
      <c r="F1215" s="3" t="s">
        <v>131</v>
      </c>
      <c r="G1215" s="25">
        <v>250</v>
      </c>
      <c r="H1215" s="45">
        <v>0</v>
      </c>
    </row>
    <row r="1216" spans="1:8" x14ac:dyDescent="0.25">
      <c r="A1216" s="2" t="s">
        <v>2341</v>
      </c>
      <c r="B1216" s="3" t="s">
        <v>46</v>
      </c>
      <c r="C1216" s="3" t="s">
        <v>2356</v>
      </c>
      <c r="D1216" s="94" t="s">
        <v>2357</v>
      </c>
      <c r="E1216" s="94"/>
      <c r="F1216" s="3" t="s">
        <v>131</v>
      </c>
      <c r="G1216" s="25">
        <v>50</v>
      </c>
      <c r="H1216" s="45">
        <v>0</v>
      </c>
    </row>
    <row r="1217" spans="1:8" x14ac:dyDescent="0.25">
      <c r="A1217" s="2" t="s">
        <v>2345</v>
      </c>
      <c r="B1217" s="3" t="s">
        <v>46</v>
      </c>
      <c r="C1217" s="3" t="s">
        <v>2359</v>
      </c>
      <c r="D1217" s="94" t="s">
        <v>2186</v>
      </c>
      <c r="E1217" s="94"/>
      <c r="F1217" s="3" t="s">
        <v>131</v>
      </c>
      <c r="G1217" s="25">
        <v>25</v>
      </c>
      <c r="H1217" s="45">
        <v>0</v>
      </c>
    </row>
    <row r="1218" spans="1:8" x14ac:dyDescent="0.25">
      <c r="A1218" s="2" t="s">
        <v>2349</v>
      </c>
      <c r="B1218" s="3" t="s">
        <v>46</v>
      </c>
      <c r="C1218" s="3" t="s">
        <v>2361</v>
      </c>
      <c r="D1218" s="94" t="s">
        <v>2272</v>
      </c>
      <c r="E1218" s="94"/>
      <c r="F1218" s="3" t="s">
        <v>52</v>
      </c>
      <c r="G1218" s="25">
        <v>15</v>
      </c>
      <c r="H1218" s="45">
        <v>0</v>
      </c>
    </row>
    <row r="1219" spans="1:8" x14ac:dyDescent="0.25">
      <c r="A1219" s="2" t="s">
        <v>2352</v>
      </c>
      <c r="B1219" s="3" t="s">
        <v>46</v>
      </c>
      <c r="C1219" s="3" t="s">
        <v>2363</v>
      </c>
      <c r="D1219" s="94" t="s">
        <v>2195</v>
      </c>
      <c r="E1219" s="94"/>
      <c r="F1219" s="3" t="s">
        <v>52</v>
      </c>
      <c r="G1219" s="25">
        <v>15</v>
      </c>
      <c r="H1219" s="45">
        <v>0</v>
      </c>
    </row>
    <row r="1220" spans="1:8" x14ac:dyDescent="0.25">
      <c r="A1220" s="2" t="s">
        <v>2355</v>
      </c>
      <c r="B1220" s="3" t="s">
        <v>46</v>
      </c>
      <c r="C1220" s="3" t="s">
        <v>2365</v>
      </c>
      <c r="D1220" s="94" t="s">
        <v>2198</v>
      </c>
      <c r="E1220" s="94"/>
      <c r="F1220" s="3" t="s">
        <v>131</v>
      </c>
      <c r="G1220" s="25">
        <v>20</v>
      </c>
      <c r="H1220" s="45">
        <v>0</v>
      </c>
    </row>
    <row r="1221" spans="1:8" x14ac:dyDescent="0.25">
      <c r="A1221" s="2" t="s">
        <v>2358</v>
      </c>
      <c r="B1221" s="3" t="s">
        <v>46</v>
      </c>
      <c r="C1221" s="3" t="s">
        <v>2367</v>
      </c>
      <c r="D1221" s="94" t="s">
        <v>2201</v>
      </c>
      <c r="E1221" s="94"/>
      <c r="F1221" s="3" t="s">
        <v>131</v>
      </c>
      <c r="G1221" s="25">
        <v>20</v>
      </c>
      <c r="H1221" s="45">
        <v>0</v>
      </c>
    </row>
    <row r="1222" spans="1:8" x14ac:dyDescent="0.25">
      <c r="A1222" s="2" t="s">
        <v>2360</v>
      </c>
      <c r="B1222" s="3" t="s">
        <v>46</v>
      </c>
      <c r="C1222" s="3" t="s">
        <v>2369</v>
      </c>
      <c r="D1222" s="94" t="s">
        <v>2370</v>
      </c>
      <c r="E1222" s="94"/>
      <c r="F1222" s="3" t="s">
        <v>52</v>
      </c>
      <c r="G1222" s="25">
        <v>1</v>
      </c>
      <c r="H1222" s="45">
        <v>0</v>
      </c>
    </row>
    <row r="1223" spans="1:8" x14ac:dyDescent="0.25">
      <c r="A1223" s="2" t="s">
        <v>2362</v>
      </c>
      <c r="B1223" s="3" t="s">
        <v>46</v>
      </c>
      <c r="C1223" s="3" t="s">
        <v>2372</v>
      </c>
      <c r="D1223" s="94" t="s">
        <v>2373</v>
      </c>
      <c r="E1223" s="94"/>
      <c r="F1223" s="3" t="s">
        <v>52</v>
      </c>
      <c r="G1223" s="25">
        <v>1</v>
      </c>
      <c r="H1223" s="45">
        <v>0</v>
      </c>
    </row>
    <row r="1224" spans="1:8" x14ac:dyDescent="0.25">
      <c r="A1224" s="2" t="s">
        <v>2364</v>
      </c>
      <c r="B1224" s="3" t="s">
        <v>46</v>
      </c>
      <c r="C1224" s="3" t="s">
        <v>2375</v>
      </c>
      <c r="D1224" s="94" t="s">
        <v>2291</v>
      </c>
      <c r="E1224" s="94"/>
      <c r="F1224" s="3" t="s">
        <v>52</v>
      </c>
      <c r="G1224" s="25">
        <v>1</v>
      </c>
      <c r="H1224" s="45">
        <v>0</v>
      </c>
    </row>
    <row r="1225" spans="1:8" x14ac:dyDescent="0.25">
      <c r="A1225" s="2" t="s">
        <v>2366</v>
      </c>
      <c r="B1225" s="3" t="s">
        <v>46</v>
      </c>
      <c r="C1225" s="3" t="s">
        <v>2377</v>
      </c>
      <c r="D1225" s="94" t="s">
        <v>2237</v>
      </c>
      <c r="E1225" s="94"/>
      <c r="F1225" s="3" t="s">
        <v>52</v>
      </c>
      <c r="G1225" s="25">
        <v>1</v>
      </c>
      <c r="H1225" s="45">
        <v>0</v>
      </c>
    </row>
    <row r="1226" spans="1:8" x14ac:dyDescent="0.25">
      <c r="A1226" s="2" t="s">
        <v>2368</v>
      </c>
      <c r="B1226" s="3" t="s">
        <v>46</v>
      </c>
      <c r="C1226" s="3" t="s">
        <v>2379</v>
      </c>
      <c r="D1226" s="94" t="s">
        <v>2240</v>
      </c>
      <c r="E1226" s="94"/>
      <c r="F1226" s="3" t="s">
        <v>52</v>
      </c>
      <c r="G1226" s="25">
        <v>1</v>
      </c>
      <c r="H1226" s="45">
        <v>0</v>
      </c>
    </row>
    <row r="1227" spans="1:8" x14ac:dyDescent="0.25">
      <c r="A1227" s="58" t="s">
        <v>46</v>
      </c>
      <c r="B1227" s="29" t="s">
        <v>46</v>
      </c>
      <c r="C1227" s="29" t="s">
        <v>2380</v>
      </c>
      <c r="D1227" s="151" t="s">
        <v>2381</v>
      </c>
      <c r="E1227" s="151"/>
      <c r="F1227" s="29" t="s">
        <v>46</v>
      </c>
      <c r="G1227" s="11" t="s">
        <v>46</v>
      </c>
      <c r="H1227" s="31" t="s">
        <v>46</v>
      </c>
    </row>
    <row r="1228" spans="1:8" x14ac:dyDescent="0.25">
      <c r="A1228" s="2" t="s">
        <v>2371</v>
      </c>
      <c r="B1228" s="3" t="s">
        <v>46</v>
      </c>
      <c r="C1228" s="3" t="s">
        <v>2383</v>
      </c>
      <c r="D1228" s="94" t="s">
        <v>2384</v>
      </c>
      <c r="E1228" s="94"/>
      <c r="F1228" s="3" t="s">
        <v>52</v>
      </c>
      <c r="G1228" s="25">
        <v>11</v>
      </c>
      <c r="H1228" s="45">
        <v>0</v>
      </c>
    </row>
    <row r="1229" spans="1:8" x14ac:dyDescent="0.25">
      <c r="A1229" s="2" t="s">
        <v>2374</v>
      </c>
      <c r="B1229" s="3" t="s">
        <v>46</v>
      </c>
      <c r="C1229" s="3" t="s">
        <v>2387</v>
      </c>
      <c r="D1229" s="94" t="s">
        <v>2388</v>
      </c>
      <c r="E1229" s="94"/>
      <c r="F1229" s="3" t="s">
        <v>52</v>
      </c>
      <c r="G1229" s="25">
        <v>4</v>
      </c>
      <c r="H1229" s="45">
        <v>0</v>
      </c>
    </row>
    <row r="1230" spans="1:8" x14ac:dyDescent="0.25">
      <c r="A1230" s="2" t="s">
        <v>2376</v>
      </c>
      <c r="B1230" s="3" t="s">
        <v>46</v>
      </c>
      <c r="C1230" s="3" t="s">
        <v>2390</v>
      </c>
      <c r="D1230" s="94" t="s">
        <v>2354</v>
      </c>
      <c r="E1230" s="94"/>
      <c r="F1230" s="3" t="s">
        <v>131</v>
      </c>
      <c r="G1230" s="25">
        <v>250</v>
      </c>
      <c r="H1230" s="45">
        <v>0</v>
      </c>
    </row>
    <row r="1231" spans="1:8" x14ac:dyDescent="0.25">
      <c r="A1231" s="2" t="s">
        <v>2378</v>
      </c>
      <c r="B1231" s="3" t="s">
        <v>46</v>
      </c>
      <c r="C1231" s="3" t="s">
        <v>2392</v>
      </c>
      <c r="D1231" s="94" t="s">
        <v>2357</v>
      </c>
      <c r="E1231" s="94"/>
      <c r="F1231" s="3" t="s">
        <v>131</v>
      </c>
      <c r="G1231" s="25">
        <v>50</v>
      </c>
      <c r="H1231" s="45">
        <v>0</v>
      </c>
    </row>
    <row r="1232" spans="1:8" x14ac:dyDescent="0.25">
      <c r="A1232" s="2" t="s">
        <v>2382</v>
      </c>
      <c r="B1232" s="3" t="s">
        <v>46</v>
      </c>
      <c r="C1232" s="3" t="s">
        <v>2394</v>
      </c>
      <c r="D1232" s="94" t="s">
        <v>2186</v>
      </c>
      <c r="E1232" s="94"/>
      <c r="F1232" s="3" t="s">
        <v>131</v>
      </c>
      <c r="G1232" s="25">
        <v>25</v>
      </c>
      <c r="H1232" s="45">
        <v>0</v>
      </c>
    </row>
    <row r="1233" spans="1:8" x14ac:dyDescent="0.25">
      <c r="A1233" s="2" t="s">
        <v>2386</v>
      </c>
      <c r="B1233" s="3" t="s">
        <v>46</v>
      </c>
      <c r="C1233" s="3" t="s">
        <v>2396</v>
      </c>
      <c r="D1233" s="94" t="s">
        <v>2272</v>
      </c>
      <c r="E1233" s="94"/>
      <c r="F1233" s="3" t="s">
        <v>52</v>
      </c>
      <c r="G1233" s="25">
        <v>15</v>
      </c>
      <c r="H1233" s="45">
        <v>0</v>
      </c>
    </row>
    <row r="1234" spans="1:8" x14ac:dyDescent="0.25">
      <c r="A1234" s="2" t="s">
        <v>2389</v>
      </c>
      <c r="B1234" s="3" t="s">
        <v>46</v>
      </c>
      <c r="C1234" s="3" t="s">
        <v>2398</v>
      </c>
      <c r="D1234" s="94" t="s">
        <v>2195</v>
      </c>
      <c r="E1234" s="94"/>
      <c r="F1234" s="3" t="s">
        <v>52</v>
      </c>
      <c r="G1234" s="25">
        <v>15</v>
      </c>
      <c r="H1234" s="45">
        <v>0</v>
      </c>
    </row>
    <row r="1235" spans="1:8" x14ac:dyDescent="0.25">
      <c r="A1235" s="2" t="s">
        <v>2391</v>
      </c>
      <c r="B1235" s="3" t="s">
        <v>46</v>
      </c>
      <c r="C1235" s="3" t="s">
        <v>2399</v>
      </c>
      <c r="D1235" s="94" t="s">
        <v>2198</v>
      </c>
      <c r="E1235" s="94"/>
      <c r="F1235" s="3" t="s">
        <v>131</v>
      </c>
      <c r="G1235" s="25">
        <v>20</v>
      </c>
      <c r="H1235" s="45">
        <v>0</v>
      </c>
    </row>
    <row r="1236" spans="1:8" x14ac:dyDescent="0.25">
      <c r="A1236" s="2" t="s">
        <v>2393</v>
      </c>
      <c r="B1236" s="3" t="s">
        <v>46</v>
      </c>
      <c r="C1236" s="3" t="s">
        <v>2401</v>
      </c>
      <c r="D1236" s="94" t="s">
        <v>2201</v>
      </c>
      <c r="E1236" s="94"/>
      <c r="F1236" s="3" t="s">
        <v>131</v>
      </c>
      <c r="G1236" s="25">
        <v>20</v>
      </c>
      <c r="H1236" s="45">
        <v>0</v>
      </c>
    </row>
    <row r="1237" spans="1:8" x14ac:dyDescent="0.25">
      <c r="A1237" s="2" t="s">
        <v>2395</v>
      </c>
      <c r="B1237" s="3" t="s">
        <v>46</v>
      </c>
      <c r="C1237" s="3" t="s">
        <v>2402</v>
      </c>
      <c r="D1237" s="94" t="s">
        <v>2370</v>
      </c>
      <c r="E1237" s="94"/>
      <c r="F1237" s="3" t="s">
        <v>52</v>
      </c>
      <c r="G1237" s="25">
        <v>1</v>
      </c>
      <c r="H1237" s="45">
        <v>0</v>
      </c>
    </row>
    <row r="1238" spans="1:8" x14ac:dyDescent="0.25">
      <c r="A1238" s="2" t="s">
        <v>2397</v>
      </c>
      <c r="B1238" s="3" t="s">
        <v>46</v>
      </c>
      <c r="C1238" s="3" t="s">
        <v>2404</v>
      </c>
      <c r="D1238" s="94" t="s">
        <v>2373</v>
      </c>
      <c r="E1238" s="94"/>
      <c r="F1238" s="3" t="s">
        <v>52</v>
      </c>
      <c r="G1238" s="25">
        <v>1</v>
      </c>
      <c r="H1238" s="45">
        <v>0</v>
      </c>
    </row>
    <row r="1239" spans="1:8" x14ac:dyDescent="0.25">
      <c r="A1239" s="2" t="s">
        <v>1420</v>
      </c>
      <c r="B1239" s="3" t="s">
        <v>46</v>
      </c>
      <c r="C1239" s="3" t="s">
        <v>2405</v>
      </c>
      <c r="D1239" s="94" t="s">
        <v>2291</v>
      </c>
      <c r="E1239" s="94"/>
      <c r="F1239" s="3" t="s">
        <v>52</v>
      </c>
      <c r="G1239" s="25">
        <v>1</v>
      </c>
      <c r="H1239" s="45">
        <v>0</v>
      </c>
    </row>
    <row r="1240" spans="1:8" x14ac:dyDescent="0.25">
      <c r="A1240" s="2" t="s">
        <v>2400</v>
      </c>
      <c r="B1240" s="3" t="s">
        <v>46</v>
      </c>
      <c r="C1240" s="3" t="s">
        <v>2406</v>
      </c>
      <c r="D1240" s="94" t="s">
        <v>2237</v>
      </c>
      <c r="E1240" s="94"/>
      <c r="F1240" s="3" t="s">
        <v>52</v>
      </c>
      <c r="G1240" s="25">
        <v>1</v>
      </c>
      <c r="H1240" s="45">
        <v>0</v>
      </c>
    </row>
    <row r="1241" spans="1:8" x14ac:dyDescent="0.25">
      <c r="A1241" s="2" t="s">
        <v>1433</v>
      </c>
      <c r="B1241" s="3" t="s">
        <v>46</v>
      </c>
      <c r="C1241" s="3" t="s">
        <v>2408</v>
      </c>
      <c r="D1241" s="94" t="s">
        <v>2240</v>
      </c>
      <c r="E1241" s="94"/>
      <c r="F1241" s="3" t="s">
        <v>52</v>
      </c>
      <c r="G1241" s="25">
        <v>1</v>
      </c>
      <c r="H1241" s="45">
        <v>0</v>
      </c>
    </row>
    <row r="1242" spans="1:8" x14ac:dyDescent="0.25">
      <c r="A1242" s="58" t="s">
        <v>46</v>
      </c>
      <c r="B1242" s="29" t="s">
        <v>46</v>
      </c>
      <c r="C1242" s="29" t="s">
        <v>2409</v>
      </c>
      <c r="D1242" s="151" t="s">
        <v>2410</v>
      </c>
      <c r="E1242" s="151"/>
      <c r="F1242" s="29" t="s">
        <v>46</v>
      </c>
      <c r="G1242" s="11" t="s">
        <v>46</v>
      </c>
      <c r="H1242" s="31" t="s">
        <v>46</v>
      </c>
    </row>
    <row r="1243" spans="1:8" x14ac:dyDescent="0.25">
      <c r="A1243" s="2" t="s">
        <v>2403</v>
      </c>
      <c r="B1243" s="3" t="s">
        <v>46</v>
      </c>
      <c r="C1243" s="3" t="s">
        <v>2412</v>
      </c>
      <c r="D1243" s="94" t="s">
        <v>2413</v>
      </c>
      <c r="E1243" s="94"/>
      <c r="F1243" s="3" t="s">
        <v>52</v>
      </c>
      <c r="G1243" s="25">
        <v>1</v>
      </c>
      <c r="H1243" s="45">
        <v>0</v>
      </c>
    </row>
    <row r="1244" spans="1:8" x14ac:dyDescent="0.25">
      <c r="A1244" s="2" t="s">
        <v>1448</v>
      </c>
      <c r="B1244" s="3" t="s">
        <v>46</v>
      </c>
      <c r="C1244" s="3" t="s">
        <v>2416</v>
      </c>
      <c r="D1244" s="94" t="s">
        <v>2417</v>
      </c>
      <c r="E1244" s="94"/>
      <c r="F1244" s="3" t="s">
        <v>52</v>
      </c>
      <c r="G1244" s="25">
        <v>4</v>
      </c>
      <c r="H1244" s="45">
        <v>0</v>
      </c>
    </row>
    <row r="1245" spans="1:8" x14ac:dyDescent="0.25">
      <c r="A1245" s="2" t="s">
        <v>1541</v>
      </c>
      <c r="B1245" s="3" t="s">
        <v>46</v>
      </c>
      <c r="C1245" s="3" t="s">
        <v>2418</v>
      </c>
      <c r="D1245" s="94" t="s">
        <v>2419</v>
      </c>
      <c r="E1245" s="94"/>
      <c r="F1245" s="3" t="s">
        <v>52</v>
      </c>
      <c r="G1245" s="25">
        <v>4</v>
      </c>
      <c r="H1245" s="45">
        <v>0</v>
      </c>
    </row>
    <row r="1246" spans="1:8" x14ac:dyDescent="0.25">
      <c r="A1246" s="2" t="s">
        <v>2407</v>
      </c>
      <c r="B1246" s="3" t="s">
        <v>46</v>
      </c>
      <c r="C1246" s="3" t="s">
        <v>2421</v>
      </c>
      <c r="D1246" s="94" t="s">
        <v>2422</v>
      </c>
      <c r="E1246" s="94"/>
      <c r="F1246" s="3" t="s">
        <v>131</v>
      </c>
      <c r="G1246" s="25">
        <v>10</v>
      </c>
      <c r="H1246" s="45">
        <v>0</v>
      </c>
    </row>
    <row r="1247" spans="1:8" x14ac:dyDescent="0.25">
      <c r="A1247" s="2" t="s">
        <v>2411</v>
      </c>
      <c r="B1247" s="3" t="s">
        <v>46</v>
      </c>
      <c r="C1247" s="3" t="s">
        <v>2424</v>
      </c>
      <c r="D1247" s="94" t="s">
        <v>2425</v>
      </c>
      <c r="E1247" s="94"/>
      <c r="F1247" s="3" t="s">
        <v>52</v>
      </c>
      <c r="G1247" s="25">
        <v>160</v>
      </c>
      <c r="H1247" s="45">
        <v>0</v>
      </c>
    </row>
    <row r="1248" spans="1:8" x14ac:dyDescent="0.25">
      <c r="A1248" s="2" t="s">
        <v>2415</v>
      </c>
      <c r="B1248" s="3" t="s">
        <v>46</v>
      </c>
      <c r="C1248" s="3" t="s">
        <v>2427</v>
      </c>
      <c r="D1248" s="94" t="s">
        <v>2428</v>
      </c>
      <c r="E1248" s="94"/>
      <c r="F1248" s="3" t="s">
        <v>131</v>
      </c>
      <c r="G1248" s="25">
        <v>450</v>
      </c>
      <c r="H1248" s="45">
        <v>0</v>
      </c>
    </row>
    <row r="1249" spans="1:8" x14ac:dyDescent="0.25">
      <c r="A1249" s="2" t="s">
        <v>1646</v>
      </c>
      <c r="B1249" s="3" t="s">
        <v>46</v>
      </c>
      <c r="C1249" s="3" t="s">
        <v>2430</v>
      </c>
      <c r="D1249" s="94" t="s">
        <v>2431</v>
      </c>
      <c r="E1249" s="94"/>
      <c r="F1249" s="3" t="s">
        <v>131</v>
      </c>
      <c r="G1249" s="25">
        <v>300</v>
      </c>
      <c r="H1249" s="45">
        <v>0</v>
      </c>
    </row>
    <row r="1250" spans="1:8" x14ac:dyDescent="0.25">
      <c r="A1250" s="2" t="s">
        <v>2420</v>
      </c>
      <c r="B1250" s="3" t="s">
        <v>46</v>
      </c>
      <c r="C1250" s="3" t="s">
        <v>2432</v>
      </c>
      <c r="D1250" s="94" t="s">
        <v>2433</v>
      </c>
      <c r="E1250" s="94"/>
      <c r="F1250" s="3" t="s">
        <v>52</v>
      </c>
      <c r="G1250" s="25">
        <v>10</v>
      </c>
      <c r="H1250" s="45">
        <v>0</v>
      </c>
    </row>
    <row r="1251" spans="1:8" x14ac:dyDescent="0.25">
      <c r="A1251" s="2" t="s">
        <v>2423</v>
      </c>
      <c r="B1251" s="3" t="s">
        <v>46</v>
      </c>
      <c r="C1251" s="3" t="s">
        <v>2435</v>
      </c>
      <c r="D1251" s="94" t="s">
        <v>2436</v>
      </c>
      <c r="E1251" s="94"/>
      <c r="F1251" s="3" t="s">
        <v>52</v>
      </c>
      <c r="G1251" s="25">
        <v>60</v>
      </c>
      <c r="H1251" s="45">
        <v>0</v>
      </c>
    </row>
    <row r="1252" spans="1:8" x14ac:dyDescent="0.25">
      <c r="A1252" s="2" t="s">
        <v>2426</v>
      </c>
      <c r="B1252" s="3" t="s">
        <v>46</v>
      </c>
      <c r="C1252" s="3" t="s">
        <v>2438</v>
      </c>
      <c r="D1252" s="94" t="s">
        <v>2439</v>
      </c>
      <c r="E1252" s="94"/>
      <c r="F1252" s="3" t="s">
        <v>131</v>
      </c>
      <c r="G1252" s="25">
        <v>15</v>
      </c>
      <c r="H1252" s="45">
        <v>0</v>
      </c>
    </row>
    <row r="1253" spans="1:8" x14ac:dyDescent="0.25">
      <c r="A1253" s="2" t="s">
        <v>2429</v>
      </c>
      <c r="B1253" s="3" t="s">
        <v>46</v>
      </c>
      <c r="C1253" s="3" t="s">
        <v>2441</v>
      </c>
      <c r="D1253" s="94" t="s">
        <v>2442</v>
      </c>
      <c r="E1253" s="94"/>
      <c r="F1253" s="3" t="s">
        <v>131</v>
      </c>
      <c r="G1253" s="25">
        <v>30</v>
      </c>
      <c r="H1253" s="45">
        <v>0</v>
      </c>
    </row>
    <row r="1254" spans="1:8" x14ac:dyDescent="0.25">
      <c r="A1254" s="2" t="s">
        <v>1680</v>
      </c>
      <c r="B1254" s="3" t="s">
        <v>46</v>
      </c>
      <c r="C1254" s="3" t="s">
        <v>2444</v>
      </c>
      <c r="D1254" s="94" t="s">
        <v>2445</v>
      </c>
      <c r="E1254" s="94"/>
      <c r="F1254" s="3" t="s">
        <v>131</v>
      </c>
      <c r="G1254" s="25">
        <v>150</v>
      </c>
      <c r="H1254" s="45">
        <v>0</v>
      </c>
    </row>
    <row r="1255" spans="1:8" x14ac:dyDescent="0.25">
      <c r="A1255" s="58" t="s">
        <v>46</v>
      </c>
      <c r="B1255" s="29" t="s">
        <v>46</v>
      </c>
      <c r="C1255" s="29" t="s">
        <v>2446</v>
      </c>
      <c r="D1255" s="151" t="s">
        <v>2447</v>
      </c>
      <c r="E1255" s="151"/>
      <c r="F1255" s="29" t="s">
        <v>46</v>
      </c>
      <c r="G1255" s="11" t="s">
        <v>46</v>
      </c>
      <c r="H1255" s="31" t="s">
        <v>46</v>
      </c>
    </row>
    <row r="1256" spans="1:8" x14ac:dyDescent="0.25">
      <c r="A1256" s="2" t="s">
        <v>2434</v>
      </c>
      <c r="B1256" s="3" t="s">
        <v>46</v>
      </c>
      <c r="C1256" s="3" t="s">
        <v>2448</v>
      </c>
      <c r="D1256" s="94" t="s">
        <v>2449</v>
      </c>
      <c r="E1256" s="94"/>
      <c r="F1256" s="3" t="s">
        <v>52</v>
      </c>
      <c r="G1256" s="25">
        <v>2</v>
      </c>
      <c r="H1256" s="45">
        <v>0</v>
      </c>
    </row>
    <row r="1257" spans="1:8" x14ac:dyDescent="0.25">
      <c r="A1257" s="2" t="s">
        <v>2437</v>
      </c>
      <c r="B1257" s="3" t="s">
        <v>46</v>
      </c>
      <c r="C1257" s="3" t="s">
        <v>2452</v>
      </c>
      <c r="D1257" s="94" t="s">
        <v>2453</v>
      </c>
      <c r="E1257" s="94"/>
      <c r="F1257" s="3" t="s">
        <v>52</v>
      </c>
      <c r="G1257" s="25">
        <v>7</v>
      </c>
      <c r="H1257" s="45">
        <v>0</v>
      </c>
    </row>
    <row r="1258" spans="1:8" x14ac:dyDescent="0.25">
      <c r="A1258" s="2" t="s">
        <v>2440</v>
      </c>
      <c r="B1258" s="3" t="s">
        <v>46</v>
      </c>
      <c r="C1258" s="3" t="s">
        <v>2454</v>
      </c>
      <c r="D1258" s="94" t="s">
        <v>2455</v>
      </c>
      <c r="E1258" s="94"/>
      <c r="F1258" s="3" t="s">
        <v>52</v>
      </c>
      <c r="G1258" s="25">
        <v>14</v>
      </c>
      <c r="H1258" s="45">
        <v>0</v>
      </c>
    </row>
    <row r="1259" spans="1:8" x14ac:dyDescent="0.25">
      <c r="A1259" s="2" t="s">
        <v>2443</v>
      </c>
      <c r="B1259" s="3" t="s">
        <v>46</v>
      </c>
      <c r="C1259" s="3" t="s">
        <v>2456</v>
      </c>
      <c r="D1259" s="94" t="s">
        <v>2457</v>
      </c>
      <c r="E1259" s="94"/>
      <c r="F1259" s="3" t="s">
        <v>52</v>
      </c>
      <c r="G1259" s="25">
        <v>39</v>
      </c>
      <c r="H1259" s="45">
        <v>0</v>
      </c>
    </row>
    <row r="1260" spans="1:8" x14ac:dyDescent="0.25">
      <c r="A1260" s="2" t="s">
        <v>1716</v>
      </c>
      <c r="B1260" s="3" t="s">
        <v>46</v>
      </c>
      <c r="C1260" s="3" t="s">
        <v>2459</v>
      </c>
      <c r="D1260" s="94" t="s">
        <v>2460</v>
      </c>
      <c r="E1260" s="94"/>
      <c r="F1260" s="3" t="s">
        <v>52</v>
      </c>
      <c r="G1260" s="25">
        <v>41</v>
      </c>
      <c r="H1260" s="45">
        <v>0</v>
      </c>
    </row>
    <row r="1261" spans="1:8" x14ac:dyDescent="0.25">
      <c r="A1261" s="2" t="s">
        <v>2451</v>
      </c>
      <c r="B1261" s="3" t="s">
        <v>46</v>
      </c>
      <c r="C1261" s="3" t="s">
        <v>2461</v>
      </c>
      <c r="D1261" s="94" t="s">
        <v>2462</v>
      </c>
      <c r="E1261" s="94"/>
      <c r="F1261" s="3" t="s">
        <v>52</v>
      </c>
      <c r="G1261" s="25">
        <v>5</v>
      </c>
      <c r="H1261" s="45">
        <v>0</v>
      </c>
    </row>
    <row r="1262" spans="1:8" x14ac:dyDescent="0.25">
      <c r="A1262" s="2" t="s">
        <v>1744</v>
      </c>
      <c r="B1262" s="3" t="s">
        <v>46</v>
      </c>
      <c r="C1262" s="3" t="s">
        <v>2464</v>
      </c>
      <c r="D1262" s="94" t="s">
        <v>2465</v>
      </c>
      <c r="E1262" s="94"/>
      <c r="F1262" s="3" t="s">
        <v>52</v>
      </c>
      <c r="G1262" s="25">
        <v>2</v>
      </c>
      <c r="H1262" s="45">
        <v>0</v>
      </c>
    </row>
    <row r="1263" spans="1:8" x14ac:dyDescent="0.25">
      <c r="A1263" s="2" t="s">
        <v>1777</v>
      </c>
      <c r="B1263" s="3" t="s">
        <v>46</v>
      </c>
      <c r="C1263" s="3" t="s">
        <v>2467</v>
      </c>
      <c r="D1263" s="94" t="s">
        <v>2468</v>
      </c>
      <c r="E1263" s="94"/>
      <c r="F1263" s="3" t="s">
        <v>52</v>
      </c>
      <c r="G1263" s="25">
        <v>4</v>
      </c>
      <c r="H1263" s="45">
        <v>0</v>
      </c>
    </row>
    <row r="1264" spans="1:8" x14ac:dyDescent="0.25">
      <c r="A1264" s="2" t="s">
        <v>2458</v>
      </c>
      <c r="B1264" s="3" t="s">
        <v>46</v>
      </c>
      <c r="C1264" s="3" t="s">
        <v>2470</v>
      </c>
      <c r="D1264" s="94" t="s">
        <v>2471</v>
      </c>
      <c r="E1264" s="94"/>
      <c r="F1264" s="3" t="s">
        <v>52</v>
      </c>
      <c r="G1264" s="25">
        <v>4</v>
      </c>
      <c r="H1264" s="45">
        <v>0</v>
      </c>
    </row>
    <row r="1265" spans="1:8" x14ac:dyDescent="0.25">
      <c r="A1265" s="2" t="s">
        <v>1809</v>
      </c>
      <c r="B1265" s="3" t="s">
        <v>46</v>
      </c>
      <c r="C1265" s="3" t="s">
        <v>2473</v>
      </c>
      <c r="D1265" s="94" t="s">
        <v>2474</v>
      </c>
      <c r="E1265" s="94"/>
      <c r="F1265" s="3" t="s">
        <v>52</v>
      </c>
      <c r="G1265" s="25">
        <v>3</v>
      </c>
      <c r="H1265" s="45">
        <v>0</v>
      </c>
    </row>
    <row r="1266" spans="1:8" x14ac:dyDescent="0.25">
      <c r="A1266" s="2" t="s">
        <v>2463</v>
      </c>
      <c r="B1266" s="3" t="s">
        <v>46</v>
      </c>
      <c r="C1266" s="3" t="s">
        <v>2476</v>
      </c>
      <c r="D1266" s="94" t="s">
        <v>2477</v>
      </c>
      <c r="E1266" s="94"/>
      <c r="F1266" s="3" t="s">
        <v>52</v>
      </c>
      <c r="G1266" s="25">
        <v>1</v>
      </c>
      <c r="H1266" s="45">
        <v>0</v>
      </c>
    </row>
    <row r="1267" spans="1:8" x14ac:dyDescent="0.25">
      <c r="A1267" s="2" t="s">
        <v>2466</v>
      </c>
      <c r="B1267" s="3" t="s">
        <v>46</v>
      </c>
      <c r="C1267" s="3" t="s">
        <v>2479</v>
      </c>
      <c r="D1267" s="94" t="s">
        <v>2480</v>
      </c>
      <c r="E1267" s="94"/>
      <c r="F1267" s="3" t="s">
        <v>52</v>
      </c>
      <c r="G1267" s="25">
        <v>1</v>
      </c>
      <c r="H1267" s="45">
        <v>0</v>
      </c>
    </row>
    <row r="1268" spans="1:8" x14ac:dyDescent="0.25">
      <c r="A1268" s="2" t="s">
        <v>2469</v>
      </c>
      <c r="B1268" s="3" t="s">
        <v>46</v>
      </c>
      <c r="C1268" s="3" t="s">
        <v>2482</v>
      </c>
      <c r="D1268" s="94" t="s">
        <v>2483</v>
      </c>
      <c r="E1268" s="94"/>
      <c r="F1268" s="3" t="s">
        <v>131</v>
      </c>
      <c r="G1268" s="25">
        <v>360</v>
      </c>
      <c r="H1268" s="45">
        <v>0</v>
      </c>
    </row>
    <row r="1269" spans="1:8" x14ac:dyDescent="0.25">
      <c r="A1269" s="2" t="s">
        <v>2472</v>
      </c>
      <c r="B1269" s="3" t="s">
        <v>46</v>
      </c>
      <c r="C1269" s="3" t="s">
        <v>2485</v>
      </c>
      <c r="D1269" s="94" t="s">
        <v>2486</v>
      </c>
      <c r="E1269" s="94"/>
      <c r="F1269" s="3" t="s">
        <v>131</v>
      </c>
      <c r="G1269" s="25">
        <v>250</v>
      </c>
      <c r="H1269" s="45">
        <v>0</v>
      </c>
    </row>
    <row r="1270" spans="1:8" x14ac:dyDescent="0.25">
      <c r="A1270" s="2" t="s">
        <v>2475</v>
      </c>
      <c r="B1270" s="3" t="s">
        <v>46</v>
      </c>
      <c r="C1270" s="3" t="s">
        <v>2488</v>
      </c>
      <c r="D1270" s="94" t="s">
        <v>2489</v>
      </c>
      <c r="E1270" s="94"/>
      <c r="F1270" s="3" t="s">
        <v>52</v>
      </c>
      <c r="G1270" s="25">
        <v>1100</v>
      </c>
      <c r="H1270" s="45">
        <v>0</v>
      </c>
    </row>
    <row r="1271" spans="1:8" x14ac:dyDescent="0.25">
      <c r="A1271" s="2" t="s">
        <v>2478</v>
      </c>
      <c r="B1271" s="3" t="s">
        <v>46</v>
      </c>
      <c r="C1271" s="3" t="s">
        <v>2491</v>
      </c>
      <c r="D1271" s="94" t="s">
        <v>2492</v>
      </c>
      <c r="E1271" s="94"/>
      <c r="F1271" s="3" t="s">
        <v>52</v>
      </c>
      <c r="G1271" s="25">
        <v>1000</v>
      </c>
      <c r="H1271" s="45">
        <v>0</v>
      </c>
    </row>
    <row r="1272" spans="1:8" x14ac:dyDescent="0.25">
      <c r="A1272" s="2" t="s">
        <v>2481</v>
      </c>
      <c r="B1272" s="3" t="s">
        <v>46</v>
      </c>
      <c r="C1272" s="3" t="s">
        <v>2494</v>
      </c>
      <c r="D1272" s="94" t="s">
        <v>2495</v>
      </c>
      <c r="E1272" s="94"/>
      <c r="F1272" s="3" t="s">
        <v>131</v>
      </c>
      <c r="G1272" s="25">
        <v>85</v>
      </c>
      <c r="H1272" s="45">
        <v>0</v>
      </c>
    </row>
    <row r="1273" spans="1:8" x14ac:dyDescent="0.25">
      <c r="A1273" s="2" t="s">
        <v>2484</v>
      </c>
      <c r="B1273" s="3" t="s">
        <v>46</v>
      </c>
      <c r="C1273" s="3" t="s">
        <v>2497</v>
      </c>
      <c r="D1273" s="94" t="s">
        <v>2498</v>
      </c>
      <c r="E1273" s="94"/>
      <c r="F1273" s="3" t="s">
        <v>131</v>
      </c>
      <c r="G1273" s="25">
        <v>75</v>
      </c>
      <c r="H1273" s="45">
        <v>0</v>
      </c>
    </row>
    <row r="1274" spans="1:8" x14ac:dyDescent="0.25">
      <c r="A1274" s="2" t="s">
        <v>2487</v>
      </c>
      <c r="B1274" s="3" t="s">
        <v>46</v>
      </c>
      <c r="C1274" s="3" t="s">
        <v>2500</v>
      </c>
      <c r="D1274" s="94" t="s">
        <v>2186</v>
      </c>
      <c r="E1274" s="94"/>
      <c r="F1274" s="3" t="s">
        <v>131</v>
      </c>
      <c r="G1274" s="25">
        <v>150</v>
      </c>
      <c r="H1274" s="45">
        <v>0</v>
      </c>
    </row>
    <row r="1275" spans="1:8" x14ac:dyDescent="0.25">
      <c r="A1275" s="2" t="s">
        <v>2490</v>
      </c>
      <c r="B1275" s="3" t="s">
        <v>46</v>
      </c>
      <c r="C1275" s="3" t="s">
        <v>2502</v>
      </c>
      <c r="D1275" s="94" t="s">
        <v>2503</v>
      </c>
      <c r="E1275" s="94"/>
      <c r="F1275" s="3" t="s">
        <v>52</v>
      </c>
      <c r="G1275" s="25">
        <v>10</v>
      </c>
      <c r="H1275" s="45">
        <v>0</v>
      </c>
    </row>
    <row r="1276" spans="1:8" x14ac:dyDescent="0.25">
      <c r="A1276" s="2" t="s">
        <v>2493</v>
      </c>
      <c r="B1276" s="3" t="s">
        <v>46</v>
      </c>
      <c r="C1276" s="3" t="s">
        <v>2505</v>
      </c>
      <c r="D1276" s="94" t="s">
        <v>2506</v>
      </c>
      <c r="E1276" s="94"/>
      <c r="F1276" s="3" t="s">
        <v>131</v>
      </c>
      <c r="G1276" s="25">
        <v>80</v>
      </c>
      <c r="H1276" s="45">
        <v>0</v>
      </c>
    </row>
    <row r="1277" spans="1:8" x14ac:dyDescent="0.25">
      <c r="A1277" s="2" t="s">
        <v>2496</v>
      </c>
      <c r="B1277" s="3" t="s">
        <v>46</v>
      </c>
      <c r="C1277" s="3" t="s">
        <v>2508</v>
      </c>
      <c r="D1277" s="94" t="s">
        <v>2509</v>
      </c>
      <c r="E1277" s="94"/>
      <c r="F1277" s="3" t="s">
        <v>131</v>
      </c>
      <c r="G1277" s="25">
        <v>15</v>
      </c>
      <c r="H1277" s="45">
        <v>0</v>
      </c>
    </row>
    <row r="1278" spans="1:8" x14ac:dyDescent="0.25">
      <c r="A1278" s="2" t="s">
        <v>2499</v>
      </c>
      <c r="B1278" s="3" t="s">
        <v>46</v>
      </c>
      <c r="C1278" s="3" t="s">
        <v>2511</v>
      </c>
      <c r="D1278" s="94" t="s">
        <v>2282</v>
      </c>
      <c r="E1278" s="94"/>
      <c r="F1278" s="3" t="s">
        <v>52</v>
      </c>
      <c r="G1278" s="25">
        <v>1</v>
      </c>
      <c r="H1278" s="45">
        <v>0</v>
      </c>
    </row>
    <row r="1279" spans="1:8" x14ac:dyDescent="0.25">
      <c r="A1279" s="2" t="s">
        <v>2501</v>
      </c>
      <c r="B1279" s="3" t="s">
        <v>46</v>
      </c>
      <c r="C1279" s="3" t="s">
        <v>2513</v>
      </c>
      <c r="D1279" s="94" t="s">
        <v>2514</v>
      </c>
      <c r="E1279" s="94"/>
      <c r="F1279" s="3" t="s">
        <v>52</v>
      </c>
      <c r="G1279" s="25">
        <v>1</v>
      </c>
      <c r="H1279" s="45">
        <v>0</v>
      </c>
    </row>
    <row r="1280" spans="1:8" x14ac:dyDescent="0.25">
      <c r="A1280" s="2" t="s">
        <v>2504</v>
      </c>
      <c r="B1280" s="3" t="s">
        <v>46</v>
      </c>
      <c r="C1280" s="3" t="s">
        <v>2516</v>
      </c>
      <c r="D1280" s="94" t="s">
        <v>2517</v>
      </c>
      <c r="E1280" s="94"/>
      <c r="F1280" s="3" t="s">
        <v>52</v>
      </c>
      <c r="G1280" s="25">
        <v>1</v>
      </c>
      <c r="H1280" s="45">
        <v>0</v>
      </c>
    </row>
    <row r="1281" spans="1:8" x14ac:dyDescent="0.25">
      <c r="A1281" s="2" t="s">
        <v>2507</v>
      </c>
      <c r="B1281" s="3" t="s">
        <v>46</v>
      </c>
      <c r="C1281" s="3" t="s">
        <v>2519</v>
      </c>
      <c r="D1281" s="94" t="s">
        <v>2520</v>
      </c>
      <c r="E1281" s="94"/>
      <c r="F1281" s="3" t="s">
        <v>52</v>
      </c>
      <c r="G1281" s="25">
        <v>1</v>
      </c>
      <c r="H1281" s="45">
        <v>0</v>
      </c>
    </row>
    <row r="1282" spans="1:8" x14ac:dyDescent="0.25">
      <c r="A1282" s="2" t="s">
        <v>2510</v>
      </c>
      <c r="B1282" s="3" t="s">
        <v>46</v>
      </c>
      <c r="C1282" s="3" t="s">
        <v>2522</v>
      </c>
      <c r="D1282" s="94" t="s">
        <v>2288</v>
      </c>
      <c r="E1282" s="94"/>
      <c r="F1282" s="3" t="s">
        <v>52</v>
      </c>
      <c r="G1282" s="25">
        <v>1</v>
      </c>
      <c r="H1282" s="45">
        <v>0</v>
      </c>
    </row>
    <row r="1283" spans="1:8" x14ac:dyDescent="0.25">
      <c r="A1283" s="2" t="s">
        <v>2512</v>
      </c>
      <c r="B1283" s="3" t="s">
        <v>46</v>
      </c>
      <c r="C1283" s="3" t="s">
        <v>2524</v>
      </c>
      <c r="D1283" s="94" t="s">
        <v>2370</v>
      </c>
      <c r="E1283" s="94"/>
      <c r="F1283" s="3" t="s">
        <v>52</v>
      </c>
      <c r="G1283" s="25">
        <v>1</v>
      </c>
      <c r="H1283" s="45">
        <v>0</v>
      </c>
    </row>
    <row r="1284" spans="1:8" x14ac:dyDescent="0.25">
      <c r="A1284" s="2" t="s">
        <v>2515</v>
      </c>
      <c r="B1284" s="3" t="s">
        <v>46</v>
      </c>
      <c r="C1284" s="3" t="s">
        <v>2526</v>
      </c>
      <c r="D1284" s="94" t="s">
        <v>2373</v>
      </c>
      <c r="E1284" s="94"/>
      <c r="F1284" s="3" t="s">
        <v>52</v>
      </c>
      <c r="G1284" s="25">
        <v>1</v>
      </c>
      <c r="H1284" s="45">
        <v>0</v>
      </c>
    </row>
    <row r="1285" spans="1:8" x14ac:dyDescent="0.25">
      <c r="A1285" s="2" t="s">
        <v>2518</v>
      </c>
      <c r="B1285" s="3" t="s">
        <v>46</v>
      </c>
      <c r="C1285" s="3" t="s">
        <v>2528</v>
      </c>
      <c r="D1285" s="94" t="s">
        <v>2291</v>
      </c>
      <c r="E1285" s="94"/>
      <c r="F1285" s="3" t="s">
        <v>52</v>
      </c>
      <c r="G1285" s="25">
        <v>1</v>
      </c>
      <c r="H1285" s="45">
        <v>0</v>
      </c>
    </row>
    <row r="1286" spans="1:8" x14ac:dyDescent="0.25">
      <c r="A1286" s="2" t="s">
        <v>2521</v>
      </c>
      <c r="B1286" s="3" t="s">
        <v>46</v>
      </c>
      <c r="C1286" s="3" t="s">
        <v>2530</v>
      </c>
      <c r="D1286" s="94" t="s">
        <v>2237</v>
      </c>
      <c r="E1286" s="94"/>
      <c r="F1286" s="3" t="s">
        <v>52</v>
      </c>
      <c r="G1286" s="25">
        <v>1</v>
      </c>
      <c r="H1286" s="45">
        <v>0</v>
      </c>
    </row>
    <row r="1287" spans="1:8" x14ac:dyDescent="0.25">
      <c r="A1287" s="2" t="s">
        <v>2523</v>
      </c>
      <c r="B1287" s="3" t="s">
        <v>46</v>
      </c>
      <c r="C1287" s="3" t="s">
        <v>2532</v>
      </c>
      <c r="D1287" s="94" t="s">
        <v>2240</v>
      </c>
      <c r="E1287" s="94"/>
      <c r="F1287" s="3" t="s">
        <v>52</v>
      </c>
      <c r="G1287" s="25">
        <v>1</v>
      </c>
      <c r="H1287" s="45">
        <v>0</v>
      </c>
    </row>
    <row r="1288" spans="1:8" x14ac:dyDescent="0.25">
      <c r="A1288" s="58" t="s">
        <v>46</v>
      </c>
      <c r="B1288" s="29" t="s">
        <v>46</v>
      </c>
      <c r="C1288" s="29" t="s">
        <v>2533</v>
      </c>
      <c r="D1288" s="151" t="s">
        <v>2534</v>
      </c>
      <c r="E1288" s="151"/>
      <c r="F1288" s="29" t="s">
        <v>46</v>
      </c>
      <c r="G1288" s="11" t="s">
        <v>46</v>
      </c>
      <c r="H1288" s="31" t="s">
        <v>46</v>
      </c>
    </row>
    <row r="1289" spans="1:8" x14ac:dyDescent="0.25">
      <c r="A1289" s="58" t="s">
        <v>46</v>
      </c>
      <c r="B1289" s="29" t="s">
        <v>46</v>
      </c>
      <c r="C1289" s="29" t="s">
        <v>2535</v>
      </c>
      <c r="D1289" s="151" t="s">
        <v>2536</v>
      </c>
      <c r="E1289" s="151"/>
      <c r="F1289" s="29" t="s">
        <v>46</v>
      </c>
      <c r="G1289" s="11" t="s">
        <v>46</v>
      </c>
      <c r="H1289" s="31" t="s">
        <v>46</v>
      </c>
    </row>
    <row r="1290" spans="1:8" x14ac:dyDescent="0.25">
      <c r="A1290" s="2" t="s">
        <v>2525</v>
      </c>
      <c r="B1290" s="3" t="s">
        <v>46</v>
      </c>
      <c r="C1290" s="3" t="s">
        <v>2538</v>
      </c>
      <c r="D1290" s="94" t="s">
        <v>2539</v>
      </c>
      <c r="E1290" s="94"/>
      <c r="F1290" s="3" t="s">
        <v>52</v>
      </c>
      <c r="G1290" s="25">
        <v>1</v>
      </c>
      <c r="H1290" s="45">
        <v>0</v>
      </c>
    </row>
    <row r="1291" spans="1:8" x14ac:dyDescent="0.25">
      <c r="A1291" s="54"/>
      <c r="D1291" s="55" t="s">
        <v>49</v>
      </c>
      <c r="E1291" s="171" t="s">
        <v>46</v>
      </c>
      <c r="F1291" s="171"/>
      <c r="G1291" s="56">
        <v>1</v>
      </c>
      <c r="H1291" s="57"/>
    </row>
    <row r="1292" spans="1:8" x14ac:dyDescent="0.25">
      <c r="A1292" s="2" t="s">
        <v>2527</v>
      </c>
      <c r="B1292" s="3" t="s">
        <v>46</v>
      </c>
      <c r="C1292" s="3" t="s">
        <v>2543</v>
      </c>
      <c r="D1292" s="94" t="s">
        <v>2544</v>
      </c>
      <c r="E1292" s="94"/>
      <c r="F1292" s="3" t="s">
        <v>52</v>
      </c>
      <c r="G1292" s="25">
        <v>1</v>
      </c>
      <c r="H1292" s="45">
        <v>0</v>
      </c>
    </row>
    <row r="1293" spans="1:8" x14ac:dyDescent="0.25">
      <c r="A1293" s="54"/>
      <c r="D1293" s="55" t="s">
        <v>49</v>
      </c>
      <c r="E1293" s="171" t="s">
        <v>46</v>
      </c>
      <c r="F1293" s="171"/>
      <c r="G1293" s="56">
        <v>1</v>
      </c>
      <c r="H1293" s="57"/>
    </row>
    <row r="1294" spans="1:8" x14ac:dyDescent="0.25">
      <c r="A1294" s="58" t="s">
        <v>46</v>
      </c>
      <c r="B1294" s="29" t="s">
        <v>46</v>
      </c>
      <c r="C1294" s="29" t="s">
        <v>2545</v>
      </c>
      <c r="D1294" s="151" t="s">
        <v>2546</v>
      </c>
      <c r="E1294" s="151"/>
      <c r="F1294" s="29" t="s">
        <v>46</v>
      </c>
      <c r="G1294" s="11" t="s">
        <v>46</v>
      </c>
      <c r="H1294" s="31" t="s">
        <v>46</v>
      </c>
    </row>
    <row r="1295" spans="1:8" x14ac:dyDescent="0.25">
      <c r="A1295" s="2" t="s">
        <v>2529</v>
      </c>
      <c r="B1295" s="3" t="s">
        <v>46</v>
      </c>
      <c r="C1295" s="3" t="s">
        <v>2548</v>
      </c>
      <c r="D1295" s="94" t="s">
        <v>2546</v>
      </c>
      <c r="E1295" s="94"/>
      <c r="F1295" s="3" t="s">
        <v>52</v>
      </c>
      <c r="G1295" s="25">
        <v>1</v>
      </c>
      <c r="H1295" s="45">
        <v>0</v>
      </c>
    </row>
    <row r="1296" spans="1:8" x14ac:dyDescent="0.25">
      <c r="A1296" s="54"/>
      <c r="D1296" s="55" t="s">
        <v>49</v>
      </c>
      <c r="E1296" s="171" t="s">
        <v>46</v>
      </c>
      <c r="F1296" s="171"/>
      <c r="G1296" s="56">
        <v>1</v>
      </c>
      <c r="H1296" s="57"/>
    </row>
    <row r="1297" spans="1:8" x14ac:dyDescent="0.25">
      <c r="A1297" s="58" t="s">
        <v>46</v>
      </c>
      <c r="B1297" s="29" t="s">
        <v>46</v>
      </c>
      <c r="C1297" s="29" t="s">
        <v>2550</v>
      </c>
      <c r="D1297" s="151" t="s">
        <v>2551</v>
      </c>
      <c r="E1297" s="151"/>
      <c r="F1297" s="29" t="s">
        <v>46</v>
      </c>
      <c r="G1297" s="11" t="s">
        <v>46</v>
      </c>
      <c r="H1297" s="31" t="s">
        <v>46</v>
      </c>
    </row>
    <row r="1298" spans="1:8" x14ac:dyDescent="0.25">
      <c r="A1298" s="2" t="s">
        <v>2531</v>
      </c>
      <c r="B1298" s="3" t="s">
        <v>46</v>
      </c>
      <c r="C1298" s="3" t="s">
        <v>2553</v>
      </c>
      <c r="D1298" s="94" t="s">
        <v>2554</v>
      </c>
      <c r="E1298" s="94"/>
      <c r="F1298" s="3" t="s">
        <v>52</v>
      </c>
      <c r="G1298" s="25">
        <v>1</v>
      </c>
      <c r="H1298" s="45">
        <v>0</v>
      </c>
    </row>
    <row r="1299" spans="1:8" x14ac:dyDescent="0.25">
      <c r="A1299" s="54"/>
      <c r="D1299" s="55" t="s">
        <v>49</v>
      </c>
      <c r="E1299" s="171" t="s">
        <v>46</v>
      </c>
      <c r="F1299" s="171"/>
      <c r="G1299" s="56">
        <v>1</v>
      </c>
      <c r="H1299" s="57"/>
    </row>
    <row r="1300" spans="1:8" x14ac:dyDescent="0.25">
      <c r="A1300" s="2" t="s">
        <v>2537</v>
      </c>
      <c r="B1300" s="3" t="s">
        <v>46</v>
      </c>
      <c r="C1300" s="3" t="s">
        <v>2557</v>
      </c>
      <c r="D1300" s="94" t="s">
        <v>2558</v>
      </c>
      <c r="E1300" s="94"/>
      <c r="F1300" s="3" t="s">
        <v>52</v>
      </c>
      <c r="G1300" s="25">
        <v>1</v>
      </c>
      <c r="H1300" s="45">
        <v>0</v>
      </c>
    </row>
    <row r="1301" spans="1:8" x14ac:dyDescent="0.25">
      <c r="A1301" s="54"/>
      <c r="D1301" s="55" t="s">
        <v>49</v>
      </c>
      <c r="E1301" s="171" t="s">
        <v>46</v>
      </c>
      <c r="F1301" s="171"/>
      <c r="G1301" s="56">
        <v>1</v>
      </c>
      <c r="H1301" s="57"/>
    </row>
    <row r="1302" spans="1:8" x14ac:dyDescent="0.25">
      <c r="A1302" s="58" t="s">
        <v>46</v>
      </c>
      <c r="B1302" s="29" t="s">
        <v>46</v>
      </c>
      <c r="C1302" s="29" t="s">
        <v>2559</v>
      </c>
      <c r="D1302" s="151" t="s">
        <v>2560</v>
      </c>
      <c r="E1302" s="151"/>
      <c r="F1302" s="29" t="s">
        <v>46</v>
      </c>
      <c r="G1302" s="11" t="s">
        <v>46</v>
      </c>
      <c r="H1302" s="31" t="s">
        <v>46</v>
      </c>
    </row>
    <row r="1303" spans="1:8" x14ac:dyDescent="0.25">
      <c r="A1303" s="2" t="s">
        <v>2542</v>
      </c>
      <c r="B1303" s="3" t="s">
        <v>46</v>
      </c>
      <c r="C1303" s="3" t="s">
        <v>2562</v>
      </c>
      <c r="D1303" s="94" t="s">
        <v>2560</v>
      </c>
      <c r="E1303" s="94"/>
      <c r="F1303" s="3" t="s">
        <v>52</v>
      </c>
      <c r="G1303" s="25">
        <v>1</v>
      </c>
      <c r="H1303" s="45">
        <v>0</v>
      </c>
    </row>
    <row r="1304" spans="1:8" x14ac:dyDescent="0.25">
      <c r="A1304" s="54"/>
      <c r="D1304" s="55" t="s">
        <v>49</v>
      </c>
      <c r="E1304" s="171" t="s">
        <v>46</v>
      </c>
      <c r="F1304" s="171"/>
      <c r="G1304" s="56">
        <v>1</v>
      </c>
      <c r="H1304" s="57"/>
    </row>
    <row r="1305" spans="1:8" x14ac:dyDescent="0.25">
      <c r="A1305" s="58" t="s">
        <v>46</v>
      </c>
      <c r="B1305" s="29" t="s">
        <v>46</v>
      </c>
      <c r="C1305" s="29" t="s">
        <v>2564</v>
      </c>
      <c r="D1305" s="151" t="s">
        <v>2565</v>
      </c>
      <c r="E1305" s="151"/>
      <c r="F1305" s="29" t="s">
        <v>46</v>
      </c>
      <c r="G1305" s="11" t="s">
        <v>46</v>
      </c>
      <c r="H1305" s="31" t="s">
        <v>46</v>
      </c>
    </row>
    <row r="1306" spans="1:8" x14ac:dyDescent="0.25">
      <c r="A1306" s="2" t="s">
        <v>2547</v>
      </c>
      <c r="B1306" s="3" t="s">
        <v>46</v>
      </c>
      <c r="C1306" s="3" t="s">
        <v>2567</v>
      </c>
      <c r="D1306" s="94" t="s">
        <v>2565</v>
      </c>
      <c r="E1306" s="94"/>
      <c r="F1306" s="3" t="s">
        <v>52</v>
      </c>
      <c r="G1306" s="25">
        <v>1</v>
      </c>
      <c r="H1306" s="45">
        <v>0</v>
      </c>
    </row>
    <row r="1307" spans="1:8" x14ac:dyDescent="0.25">
      <c r="A1307" s="59"/>
      <c r="B1307" s="60"/>
      <c r="C1307" s="60"/>
      <c r="D1307" s="61" t="s">
        <v>49</v>
      </c>
      <c r="E1307" s="172" t="s">
        <v>46</v>
      </c>
      <c r="F1307" s="172"/>
      <c r="G1307" s="62">
        <v>1</v>
      </c>
      <c r="H1307" s="63"/>
    </row>
    <row r="1309" spans="1:8" x14ac:dyDescent="0.25">
      <c r="A1309" s="37" t="s">
        <v>2570</v>
      </c>
    </row>
    <row r="1310" spans="1:8" ht="12.75" customHeight="1" x14ac:dyDescent="0.25">
      <c r="A1310" s="93" t="s">
        <v>46</v>
      </c>
      <c r="B1310" s="94"/>
      <c r="C1310" s="94"/>
      <c r="D1310" s="94"/>
      <c r="E1310" s="94"/>
      <c r="F1310" s="94"/>
      <c r="G1310" s="94"/>
    </row>
  </sheetData>
  <mergeCells count="1316">
    <mergeCell ref="A1:H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  <mergeCell ref="F2:H3"/>
    <mergeCell ref="F4:H5"/>
    <mergeCell ref="F6:H7"/>
    <mergeCell ref="E24:F24"/>
    <mergeCell ref="E25:F25"/>
    <mergeCell ref="D26:E26"/>
    <mergeCell ref="E27:F27"/>
    <mergeCell ref="E28:F28"/>
    <mergeCell ref="E19:F19"/>
    <mergeCell ref="E20:F20"/>
    <mergeCell ref="D21:E21"/>
    <mergeCell ref="E22:F22"/>
    <mergeCell ref="D23:E23"/>
    <mergeCell ref="E14:F14"/>
    <mergeCell ref="D15:E15"/>
    <mergeCell ref="E16:F16"/>
    <mergeCell ref="E17:F17"/>
    <mergeCell ref="D18:E18"/>
    <mergeCell ref="F8:H9"/>
    <mergeCell ref="D10:E10"/>
    <mergeCell ref="D11:E11"/>
    <mergeCell ref="D12:E12"/>
    <mergeCell ref="E13:F13"/>
    <mergeCell ref="E44:F44"/>
    <mergeCell ref="E45:F45"/>
    <mergeCell ref="D46:E46"/>
    <mergeCell ref="E47:F47"/>
    <mergeCell ref="D48:E48"/>
    <mergeCell ref="E39:F39"/>
    <mergeCell ref="E40:F40"/>
    <mergeCell ref="D41:E41"/>
    <mergeCell ref="D42:E42"/>
    <mergeCell ref="E43:F43"/>
    <mergeCell ref="E34:F34"/>
    <mergeCell ref="D35:E35"/>
    <mergeCell ref="E36:F36"/>
    <mergeCell ref="E37:F37"/>
    <mergeCell ref="D38:E38"/>
    <mergeCell ref="D29:E29"/>
    <mergeCell ref="E30:F30"/>
    <mergeCell ref="E31:F31"/>
    <mergeCell ref="D32:E32"/>
    <mergeCell ref="E33:F33"/>
    <mergeCell ref="D64:E64"/>
    <mergeCell ref="E65:F65"/>
    <mergeCell ref="D66:E66"/>
    <mergeCell ref="E67:F67"/>
    <mergeCell ref="D68:E68"/>
    <mergeCell ref="E59:F59"/>
    <mergeCell ref="D60:E60"/>
    <mergeCell ref="E61:F61"/>
    <mergeCell ref="D62:E62"/>
    <mergeCell ref="E63:F63"/>
    <mergeCell ref="E54:F54"/>
    <mergeCell ref="D55:E55"/>
    <mergeCell ref="E56:F56"/>
    <mergeCell ref="E57:F57"/>
    <mergeCell ref="D58:E58"/>
    <mergeCell ref="E49:F49"/>
    <mergeCell ref="D50:E50"/>
    <mergeCell ref="E51:F51"/>
    <mergeCell ref="D52:E52"/>
    <mergeCell ref="E53:F53"/>
    <mergeCell ref="D84:E84"/>
    <mergeCell ref="E85:F85"/>
    <mergeCell ref="D86:E86"/>
    <mergeCell ref="E87:F87"/>
    <mergeCell ref="D88:E88"/>
    <mergeCell ref="E79:F79"/>
    <mergeCell ref="D80:E80"/>
    <mergeCell ref="E81:F81"/>
    <mergeCell ref="D82:E82"/>
    <mergeCell ref="E83:F83"/>
    <mergeCell ref="E74:F74"/>
    <mergeCell ref="D75:E75"/>
    <mergeCell ref="E76:F76"/>
    <mergeCell ref="E77:F77"/>
    <mergeCell ref="E78:F78"/>
    <mergeCell ref="E69:F69"/>
    <mergeCell ref="D70:E70"/>
    <mergeCell ref="E71:F71"/>
    <mergeCell ref="D72:E72"/>
    <mergeCell ref="E73:F73"/>
    <mergeCell ref="D104:E104"/>
    <mergeCell ref="E105:F105"/>
    <mergeCell ref="D106:E106"/>
    <mergeCell ref="E107:F107"/>
    <mergeCell ref="D108:E108"/>
    <mergeCell ref="E99:F99"/>
    <mergeCell ref="D100:E100"/>
    <mergeCell ref="E101:F101"/>
    <mergeCell ref="D102:E102"/>
    <mergeCell ref="E103:F103"/>
    <mergeCell ref="D94:E94"/>
    <mergeCell ref="E95:F95"/>
    <mergeCell ref="E96:F96"/>
    <mergeCell ref="D97:E97"/>
    <mergeCell ref="E98:F98"/>
    <mergeCell ref="E89:F89"/>
    <mergeCell ref="D90:E90"/>
    <mergeCell ref="E91:F91"/>
    <mergeCell ref="D92:E92"/>
    <mergeCell ref="E93:F93"/>
    <mergeCell ref="E124:F124"/>
    <mergeCell ref="E125:F125"/>
    <mergeCell ref="E126:F126"/>
    <mergeCell ref="E127:F127"/>
    <mergeCell ref="E128:F128"/>
    <mergeCell ref="D119:E119"/>
    <mergeCell ref="E120:F120"/>
    <mergeCell ref="E121:F121"/>
    <mergeCell ref="E122:F122"/>
    <mergeCell ref="D123:E123"/>
    <mergeCell ref="D114:E114"/>
    <mergeCell ref="E115:F115"/>
    <mergeCell ref="E116:F116"/>
    <mergeCell ref="D117:E117"/>
    <mergeCell ref="E118:F118"/>
    <mergeCell ref="E109:F109"/>
    <mergeCell ref="E110:F110"/>
    <mergeCell ref="D111:E111"/>
    <mergeCell ref="E112:F112"/>
    <mergeCell ref="E113:F113"/>
    <mergeCell ref="E144:F144"/>
    <mergeCell ref="E145:F145"/>
    <mergeCell ref="D146:E146"/>
    <mergeCell ref="E147:F147"/>
    <mergeCell ref="E148:F148"/>
    <mergeCell ref="E139:F139"/>
    <mergeCell ref="D140:E140"/>
    <mergeCell ref="E141:F141"/>
    <mergeCell ref="E142:F142"/>
    <mergeCell ref="D143:E143"/>
    <mergeCell ref="E134:F134"/>
    <mergeCell ref="E135:F135"/>
    <mergeCell ref="D136:E136"/>
    <mergeCell ref="E137:F137"/>
    <mergeCell ref="E138:F138"/>
    <mergeCell ref="D129:E129"/>
    <mergeCell ref="D130:E130"/>
    <mergeCell ref="E131:F131"/>
    <mergeCell ref="D132:E132"/>
    <mergeCell ref="E133:F133"/>
    <mergeCell ref="E164:F164"/>
    <mergeCell ref="E165:F165"/>
    <mergeCell ref="D166:E166"/>
    <mergeCell ref="E167:F167"/>
    <mergeCell ref="D168:E168"/>
    <mergeCell ref="E159:F159"/>
    <mergeCell ref="D160:E160"/>
    <mergeCell ref="E161:F161"/>
    <mergeCell ref="D162:E162"/>
    <mergeCell ref="E163:F163"/>
    <mergeCell ref="E154:F154"/>
    <mergeCell ref="E155:F155"/>
    <mergeCell ref="E156:F156"/>
    <mergeCell ref="D157:E157"/>
    <mergeCell ref="D158:E158"/>
    <mergeCell ref="E149:F149"/>
    <mergeCell ref="E150:F150"/>
    <mergeCell ref="D151:E151"/>
    <mergeCell ref="E152:F152"/>
    <mergeCell ref="E153:F153"/>
    <mergeCell ref="E184:F184"/>
    <mergeCell ref="E185:F185"/>
    <mergeCell ref="E186:F186"/>
    <mergeCell ref="E187:F187"/>
    <mergeCell ref="E188:F188"/>
    <mergeCell ref="E179:F179"/>
    <mergeCell ref="D180:E180"/>
    <mergeCell ref="E181:F181"/>
    <mergeCell ref="D182:E182"/>
    <mergeCell ref="E183:F183"/>
    <mergeCell ref="D174:E174"/>
    <mergeCell ref="E175:F175"/>
    <mergeCell ref="E176:F176"/>
    <mergeCell ref="E177:F177"/>
    <mergeCell ref="D178:E178"/>
    <mergeCell ref="E169:F169"/>
    <mergeCell ref="D170:E170"/>
    <mergeCell ref="E171:F171"/>
    <mergeCell ref="E172:F172"/>
    <mergeCell ref="E173:F173"/>
    <mergeCell ref="D204:E204"/>
    <mergeCell ref="E205:F205"/>
    <mergeCell ref="D206:E206"/>
    <mergeCell ref="E207:F207"/>
    <mergeCell ref="D208:E208"/>
    <mergeCell ref="D199:E199"/>
    <mergeCell ref="E200:F200"/>
    <mergeCell ref="D201:E201"/>
    <mergeCell ref="D202:E202"/>
    <mergeCell ref="E203:F203"/>
    <mergeCell ref="E194:F194"/>
    <mergeCell ref="E195:F195"/>
    <mergeCell ref="D196:E196"/>
    <mergeCell ref="E197:F197"/>
    <mergeCell ref="E198:F198"/>
    <mergeCell ref="E189:F189"/>
    <mergeCell ref="E190:F190"/>
    <mergeCell ref="E191:F191"/>
    <mergeCell ref="E192:F192"/>
    <mergeCell ref="E193:F193"/>
    <mergeCell ref="D224:E224"/>
    <mergeCell ref="E225:F225"/>
    <mergeCell ref="D226:E226"/>
    <mergeCell ref="E227:F227"/>
    <mergeCell ref="D228:E228"/>
    <mergeCell ref="D219:E219"/>
    <mergeCell ref="E220:F220"/>
    <mergeCell ref="E221:F221"/>
    <mergeCell ref="E222:F222"/>
    <mergeCell ref="D223:E223"/>
    <mergeCell ref="E214:F214"/>
    <mergeCell ref="E215:F215"/>
    <mergeCell ref="D216:E216"/>
    <mergeCell ref="E217:F217"/>
    <mergeCell ref="E218:F218"/>
    <mergeCell ref="D209:E209"/>
    <mergeCell ref="E210:F210"/>
    <mergeCell ref="D211:E211"/>
    <mergeCell ref="E212:F212"/>
    <mergeCell ref="D213:E213"/>
    <mergeCell ref="D244:E244"/>
    <mergeCell ref="E245:F245"/>
    <mergeCell ref="D246:E246"/>
    <mergeCell ref="E247:F247"/>
    <mergeCell ref="D248:E248"/>
    <mergeCell ref="D239:E239"/>
    <mergeCell ref="E240:F240"/>
    <mergeCell ref="D241:E241"/>
    <mergeCell ref="E242:F242"/>
    <mergeCell ref="D243:E243"/>
    <mergeCell ref="E234:F234"/>
    <mergeCell ref="D235:E235"/>
    <mergeCell ref="E236:F236"/>
    <mergeCell ref="D237:E237"/>
    <mergeCell ref="E238:F238"/>
    <mergeCell ref="E229:F229"/>
    <mergeCell ref="D230:E230"/>
    <mergeCell ref="E231:F231"/>
    <mergeCell ref="D232:E232"/>
    <mergeCell ref="D233:E233"/>
    <mergeCell ref="D264:E264"/>
    <mergeCell ref="E265:F265"/>
    <mergeCell ref="D266:E266"/>
    <mergeCell ref="E267:F267"/>
    <mergeCell ref="E268:F268"/>
    <mergeCell ref="D259:E259"/>
    <mergeCell ref="E260:F260"/>
    <mergeCell ref="D261:E261"/>
    <mergeCell ref="E262:F262"/>
    <mergeCell ref="D263:E263"/>
    <mergeCell ref="E254:F254"/>
    <mergeCell ref="D255:E255"/>
    <mergeCell ref="E256:F256"/>
    <mergeCell ref="D257:E257"/>
    <mergeCell ref="E258:F258"/>
    <mergeCell ref="D249:E249"/>
    <mergeCell ref="E250:F250"/>
    <mergeCell ref="E251:F251"/>
    <mergeCell ref="E252:F252"/>
    <mergeCell ref="D253:E253"/>
    <mergeCell ref="E284:F284"/>
    <mergeCell ref="D285:E285"/>
    <mergeCell ref="E286:F286"/>
    <mergeCell ref="E287:F287"/>
    <mergeCell ref="D288:E288"/>
    <mergeCell ref="E279:F279"/>
    <mergeCell ref="D280:E280"/>
    <mergeCell ref="E281:F281"/>
    <mergeCell ref="E282:F282"/>
    <mergeCell ref="D283:E283"/>
    <mergeCell ref="E274:F274"/>
    <mergeCell ref="D275:E275"/>
    <mergeCell ref="E276:F276"/>
    <mergeCell ref="E277:F277"/>
    <mergeCell ref="D278:E278"/>
    <mergeCell ref="E269:F269"/>
    <mergeCell ref="E270:F270"/>
    <mergeCell ref="D271:E271"/>
    <mergeCell ref="E272:F272"/>
    <mergeCell ref="D273:E273"/>
    <mergeCell ref="D304:E304"/>
    <mergeCell ref="E305:F305"/>
    <mergeCell ref="E306:F306"/>
    <mergeCell ref="D307:E307"/>
    <mergeCell ref="E308:F308"/>
    <mergeCell ref="D299:E299"/>
    <mergeCell ref="E300:F300"/>
    <mergeCell ref="E301:F301"/>
    <mergeCell ref="D302:E302"/>
    <mergeCell ref="E303:F303"/>
    <mergeCell ref="E294:F294"/>
    <mergeCell ref="D295:E295"/>
    <mergeCell ref="E296:F296"/>
    <mergeCell ref="D297:E297"/>
    <mergeCell ref="E298:F298"/>
    <mergeCell ref="E289:F289"/>
    <mergeCell ref="E290:F290"/>
    <mergeCell ref="D291:E291"/>
    <mergeCell ref="E292:F292"/>
    <mergeCell ref="D293:E293"/>
    <mergeCell ref="E324:F324"/>
    <mergeCell ref="E325:F325"/>
    <mergeCell ref="D326:E326"/>
    <mergeCell ref="E327:F327"/>
    <mergeCell ref="E328:F328"/>
    <mergeCell ref="E319:F319"/>
    <mergeCell ref="D320:E320"/>
    <mergeCell ref="E321:F321"/>
    <mergeCell ref="E322:F322"/>
    <mergeCell ref="D323:E323"/>
    <mergeCell ref="D314:E314"/>
    <mergeCell ref="E315:F315"/>
    <mergeCell ref="D316:E316"/>
    <mergeCell ref="E317:F317"/>
    <mergeCell ref="D318:E318"/>
    <mergeCell ref="D309:E309"/>
    <mergeCell ref="E310:F310"/>
    <mergeCell ref="E311:F311"/>
    <mergeCell ref="D312:E312"/>
    <mergeCell ref="E313:F313"/>
    <mergeCell ref="D344:E344"/>
    <mergeCell ref="E345:F345"/>
    <mergeCell ref="E346:F346"/>
    <mergeCell ref="D347:E347"/>
    <mergeCell ref="E348:F348"/>
    <mergeCell ref="D339:E339"/>
    <mergeCell ref="D340:E340"/>
    <mergeCell ref="E341:F341"/>
    <mergeCell ref="D342:E342"/>
    <mergeCell ref="E343:F343"/>
    <mergeCell ref="E334:F334"/>
    <mergeCell ref="D335:E335"/>
    <mergeCell ref="E336:F336"/>
    <mergeCell ref="D337:E337"/>
    <mergeCell ref="E338:F338"/>
    <mergeCell ref="D329:E329"/>
    <mergeCell ref="E330:F330"/>
    <mergeCell ref="D331:E331"/>
    <mergeCell ref="E332:F332"/>
    <mergeCell ref="D333:E333"/>
    <mergeCell ref="E364:F364"/>
    <mergeCell ref="D365:E365"/>
    <mergeCell ref="E366:F366"/>
    <mergeCell ref="E367:F367"/>
    <mergeCell ref="E368:F368"/>
    <mergeCell ref="E359:F359"/>
    <mergeCell ref="E360:F360"/>
    <mergeCell ref="D361:E361"/>
    <mergeCell ref="E362:F362"/>
    <mergeCell ref="E363:F363"/>
    <mergeCell ref="D354:E354"/>
    <mergeCell ref="E355:F355"/>
    <mergeCell ref="D356:E356"/>
    <mergeCell ref="E357:F357"/>
    <mergeCell ref="D358:E358"/>
    <mergeCell ref="E349:F349"/>
    <mergeCell ref="D350:E350"/>
    <mergeCell ref="E351:F351"/>
    <mergeCell ref="D352:E352"/>
    <mergeCell ref="E353:F353"/>
    <mergeCell ref="D384:E384"/>
    <mergeCell ref="E385:F385"/>
    <mergeCell ref="D386:E386"/>
    <mergeCell ref="E387:F387"/>
    <mergeCell ref="D388:E388"/>
    <mergeCell ref="E379:F379"/>
    <mergeCell ref="D380:E380"/>
    <mergeCell ref="E381:F381"/>
    <mergeCell ref="D382:E382"/>
    <mergeCell ref="E383:F383"/>
    <mergeCell ref="D374:E374"/>
    <mergeCell ref="E375:F375"/>
    <mergeCell ref="D376:E376"/>
    <mergeCell ref="E377:F377"/>
    <mergeCell ref="D378:E378"/>
    <mergeCell ref="D369:E369"/>
    <mergeCell ref="E370:F370"/>
    <mergeCell ref="E371:F371"/>
    <mergeCell ref="E372:F372"/>
    <mergeCell ref="D373:E373"/>
    <mergeCell ref="D404:E404"/>
    <mergeCell ref="E405:F405"/>
    <mergeCell ref="D406:E406"/>
    <mergeCell ref="E407:F407"/>
    <mergeCell ref="D408:E408"/>
    <mergeCell ref="E399:F399"/>
    <mergeCell ref="D400:E400"/>
    <mergeCell ref="E401:F401"/>
    <mergeCell ref="D402:E402"/>
    <mergeCell ref="E403:F403"/>
    <mergeCell ref="D394:E394"/>
    <mergeCell ref="E395:F395"/>
    <mergeCell ref="D396:E396"/>
    <mergeCell ref="E397:F397"/>
    <mergeCell ref="D398:E398"/>
    <mergeCell ref="E389:F389"/>
    <mergeCell ref="D390:E390"/>
    <mergeCell ref="E391:F391"/>
    <mergeCell ref="D392:E392"/>
    <mergeCell ref="E393:F393"/>
    <mergeCell ref="D424:E424"/>
    <mergeCell ref="E425:F425"/>
    <mergeCell ref="E426:F426"/>
    <mergeCell ref="D427:E427"/>
    <mergeCell ref="E428:F428"/>
    <mergeCell ref="D419:E419"/>
    <mergeCell ref="E420:F420"/>
    <mergeCell ref="D421:E421"/>
    <mergeCell ref="D422:E422"/>
    <mergeCell ref="E423:F423"/>
    <mergeCell ref="E414:F414"/>
    <mergeCell ref="D415:E415"/>
    <mergeCell ref="E416:F416"/>
    <mergeCell ref="D417:E417"/>
    <mergeCell ref="E418:F418"/>
    <mergeCell ref="D409:E409"/>
    <mergeCell ref="E410:F410"/>
    <mergeCell ref="D411:E411"/>
    <mergeCell ref="D412:E412"/>
    <mergeCell ref="E413:F413"/>
    <mergeCell ref="D444:E444"/>
    <mergeCell ref="D445:E445"/>
    <mergeCell ref="D446:E446"/>
    <mergeCell ref="D447:E447"/>
    <mergeCell ref="D448:E448"/>
    <mergeCell ref="D439:E439"/>
    <mergeCell ref="D440:E440"/>
    <mergeCell ref="D441:E441"/>
    <mergeCell ref="D442:E442"/>
    <mergeCell ref="D443:E443"/>
    <mergeCell ref="E434:F434"/>
    <mergeCell ref="D435:E435"/>
    <mergeCell ref="E436:F436"/>
    <mergeCell ref="D437:E437"/>
    <mergeCell ref="D438:E438"/>
    <mergeCell ref="D429:E429"/>
    <mergeCell ref="E430:F430"/>
    <mergeCell ref="D431:E431"/>
    <mergeCell ref="E432:F432"/>
    <mergeCell ref="D433:E433"/>
    <mergeCell ref="D464:E464"/>
    <mergeCell ref="D465:E465"/>
    <mergeCell ref="D466:E466"/>
    <mergeCell ref="D467:E467"/>
    <mergeCell ref="D468:E468"/>
    <mergeCell ref="D459:E459"/>
    <mergeCell ref="D460:E460"/>
    <mergeCell ref="D461:E461"/>
    <mergeCell ref="D462:E462"/>
    <mergeCell ref="D463:E463"/>
    <mergeCell ref="D454:E454"/>
    <mergeCell ref="D455:E455"/>
    <mergeCell ref="D456:E456"/>
    <mergeCell ref="D457:E457"/>
    <mergeCell ref="D458:E458"/>
    <mergeCell ref="D449:E449"/>
    <mergeCell ref="D450:E450"/>
    <mergeCell ref="D451:E451"/>
    <mergeCell ref="D452:E452"/>
    <mergeCell ref="D453:E453"/>
    <mergeCell ref="D484:E484"/>
    <mergeCell ref="D485:E485"/>
    <mergeCell ref="D486:E486"/>
    <mergeCell ref="D487:E487"/>
    <mergeCell ref="D488:E488"/>
    <mergeCell ref="D479:E479"/>
    <mergeCell ref="D480:E480"/>
    <mergeCell ref="D481:E481"/>
    <mergeCell ref="D482:E482"/>
    <mergeCell ref="D483:E483"/>
    <mergeCell ref="D474:E474"/>
    <mergeCell ref="D475:E475"/>
    <mergeCell ref="D476:E476"/>
    <mergeCell ref="D477:E477"/>
    <mergeCell ref="D478:E478"/>
    <mergeCell ref="D469:E469"/>
    <mergeCell ref="D470:E470"/>
    <mergeCell ref="D471:E471"/>
    <mergeCell ref="D472:E472"/>
    <mergeCell ref="D473:E473"/>
    <mergeCell ref="D504:E504"/>
    <mergeCell ref="D505:E505"/>
    <mergeCell ref="D506:E506"/>
    <mergeCell ref="D507:E507"/>
    <mergeCell ref="D508:E508"/>
    <mergeCell ref="D499:E499"/>
    <mergeCell ref="D500:E500"/>
    <mergeCell ref="D501:E501"/>
    <mergeCell ref="D502:E502"/>
    <mergeCell ref="D503:E503"/>
    <mergeCell ref="D494:E494"/>
    <mergeCell ref="D495:E495"/>
    <mergeCell ref="D496:E496"/>
    <mergeCell ref="D497:E497"/>
    <mergeCell ref="D498:E498"/>
    <mergeCell ref="D489:E489"/>
    <mergeCell ref="D490:E490"/>
    <mergeCell ref="D491:E491"/>
    <mergeCell ref="D492:E492"/>
    <mergeCell ref="D493:E493"/>
    <mergeCell ref="D524:E524"/>
    <mergeCell ref="D525:E525"/>
    <mergeCell ref="D526:E526"/>
    <mergeCell ref="D527:E527"/>
    <mergeCell ref="D528:E528"/>
    <mergeCell ref="D519:E519"/>
    <mergeCell ref="D520:E520"/>
    <mergeCell ref="D521:E521"/>
    <mergeCell ref="D522:E522"/>
    <mergeCell ref="D523:E523"/>
    <mergeCell ref="D514:E514"/>
    <mergeCell ref="D515:E515"/>
    <mergeCell ref="D516:E516"/>
    <mergeCell ref="D517:E517"/>
    <mergeCell ref="D518:E518"/>
    <mergeCell ref="D509:E509"/>
    <mergeCell ref="D510:E510"/>
    <mergeCell ref="D511:E511"/>
    <mergeCell ref="D512:E512"/>
    <mergeCell ref="D513:E513"/>
    <mergeCell ref="D544:E544"/>
    <mergeCell ref="D545:E545"/>
    <mergeCell ref="D546:E546"/>
    <mergeCell ref="D547:E547"/>
    <mergeCell ref="D548:E548"/>
    <mergeCell ref="D539:E539"/>
    <mergeCell ref="D540:E540"/>
    <mergeCell ref="D541:E541"/>
    <mergeCell ref="D542:E542"/>
    <mergeCell ref="D543:E543"/>
    <mergeCell ref="D534:E534"/>
    <mergeCell ref="D535:E535"/>
    <mergeCell ref="D536:E536"/>
    <mergeCell ref="D537:E537"/>
    <mergeCell ref="D538:E538"/>
    <mergeCell ref="D529:E529"/>
    <mergeCell ref="D530:E530"/>
    <mergeCell ref="D531:E531"/>
    <mergeCell ref="D532:E532"/>
    <mergeCell ref="D533:E533"/>
    <mergeCell ref="D564:E564"/>
    <mergeCell ref="D565:E565"/>
    <mergeCell ref="D566:E566"/>
    <mergeCell ref="D567:E567"/>
    <mergeCell ref="D568:E568"/>
    <mergeCell ref="D559:E559"/>
    <mergeCell ref="D560:E560"/>
    <mergeCell ref="D561:E561"/>
    <mergeCell ref="D562:E562"/>
    <mergeCell ref="D563:E563"/>
    <mergeCell ref="D554:E554"/>
    <mergeCell ref="D555:E555"/>
    <mergeCell ref="D556:E556"/>
    <mergeCell ref="D557:E557"/>
    <mergeCell ref="D558:E558"/>
    <mergeCell ref="D549:E549"/>
    <mergeCell ref="D550:E550"/>
    <mergeCell ref="D551:E551"/>
    <mergeCell ref="D552:E552"/>
    <mergeCell ref="D553:E553"/>
    <mergeCell ref="D584:E584"/>
    <mergeCell ref="D585:E585"/>
    <mergeCell ref="D586:E586"/>
    <mergeCell ref="D587:E587"/>
    <mergeCell ref="D588:E588"/>
    <mergeCell ref="D579:E579"/>
    <mergeCell ref="D580:E580"/>
    <mergeCell ref="D581:E581"/>
    <mergeCell ref="D582:E582"/>
    <mergeCell ref="D583:E583"/>
    <mergeCell ref="D574:E574"/>
    <mergeCell ref="D575:E575"/>
    <mergeCell ref="D576:E576"/>
    <mergeCell ref="D577:E577"/>
    <mergeCell ref="D578:E578"/>
    <mergeCell ref="D569:E569"/>
    <mergeCell ref="D570:E570"/>
    <mergeCell ref="D571:E571"/>
    <mergeCell ref="D572:E572"/>
    <mergeCell ref="D573:E573"/>
    <mergeCell ref="D604:E604"/>
    <mergeCell ref="D605:E605"/>
    <mergeCell ref="D606:E606"/>
    <mergeCell ref="D607:E607"/>
    <mergeCell ref="D608:E608"/>
    <mergeCell ref="D599:E599"/>
    <mergeCell ref="D600:E600"/>
    <mergeCell ref="D601:E601"/>
    <mergeCell ref="D602:E602"/>
    <mergeCell ref="D603:E603"/>
    <mergeCell ref="D594:E594"/>
    <mergeCell ref="D595:E595"/>
    <mergeCell ref="D596:E596"/>
    <mergeCell ref="D597:E597"/>
    <mergeCell ref="D598:E598"/>
    <mergeCell ref="D589:E589"/>
    <mergeCell ref="D590:E590"/>
    <mergeCell ref="D591:E591"/>
    <mergeCell ref="D592:E592"/>
    <mergeCell ref="D593:E593"/>
    <mergeCell ref="D624:E624"/>
    <mergeCell ref="D625:E625"/>
    <mergeCell ref="D626:E626"/>
    <mergeCell ref="D627:E627"/>
    <mergeCell ref="D628:E628"/>
    <mergeCell ref="D619:E619"/>
    <mergeCell ref="D620:E620"/>
    <mergeCell ref="D621:E621"/>
    <mergeCell ref="D622:E622"/>
    <mergeCell ref="D623:E623"/>
    <mergeCell ref="D614:E614"/>
    <mergeCell ref="D615:E615"/>
    <mergeCell ref="D616:E616"/>
    <mergeCell ref="D617:E617"/>
    <mergeCell ref="D618:E618"/>
    <mergeCell ref="D609:E609"/>
    <mergeCell ref="D610:E610"/>
    <mergeCell ref="D611:E611"/>
    <mergeCell ref="D612:E612"/>
    <mergeCell ref="D613:E613"/>
    <mergeCell ref="D644:E644"/>
    <mergeCell ref="D645:E645"/>
    <mergeCell ref="D646:E646"/>
    <mergeCell ref="D647:E647"/>
    <mergeCell ref="D648:E648"/>
    <mergeCell ref="D639:E639"/>
    <mergeCell ref="D640:E640"/>
    <mergeCell ref="D641:E641"/>
    <mergeCell ref="D642:E642"/>
    <mergeCell ref="D643:E643"/>
    <mergeCell ref="D634:E634"/>
    <mergeCell ref="D635:E635"/>
    <mergeCell ref="D636:E636"/>
    <mergeCell ref="D637:E637"/>
    <mergeCell ref="D638:E638"/>
    <mergeCell ref="D629:E629"/>
    <mergeCell ref="D630:E630"/>
    <mergeCell ref="D631:E631"/>
    <mergeCell ref="D632:E632"/>
    <mergeCell ref="D633:E633"/>
    <mergeCell ref="D664:E664"/>
    <mergeCell ref="D665:E665"/>
    <mergeCell ref="D666:E666"/>
    <mergeCell ref="D667:E667"/>
    <mergeCell ref="D668:E668"/>
    <mergeCell ref="D659:E659"/>
    <mergeCell ref="D660:E660"/>
    <mergeCell ref="D661:E661"/>
    <mergeCell ref="D662:E662"/>
    <mergeCell ref="D663:E663"/>
    <mergeCell ref="D654:E654"/>
    <mergeCell ref="D655:E655"/>
    <mergeCell ref="D656:E656"/>
    <mergeCell ref="D657:E657"/>
    <mergeCell ref="D658:E658"/>
    <mergeCell ref="D649:E649"/>
    <mergeCell ref="D650:E650"/>
    <mergeCell ref="D651:E651"/>
    <mergeCell ref="D652:E652"/>
    <mergeCell ref="D653:E653"/>
    <mergeCell ref="D684:E684"/>
    <mergeCell ref="D685:E685"/>
    <mergeCell ref="D686:E686"/>
    <mergeCell ref="D687:E687"/>
    <mergeCell ref="D688:E688"/>
    <mergeCell ref="D679:E679"/>
    <mergeCell ref="D680:E680"/>
    <mergeCell ref="D681:E681"/>
    <mergeCell ref="D682:E682"/>
    <mergeCell ref="D683:E683"/>
    <mergeCell ref="D674:E674"/>
    <mergeCell ref="D675:E675"/>
    <mergeCell ref="D676:E676"/>
    <mergeCell ref="D677:E677"/>
    <mergeCell ref="D678:E678"/>
    <mergeCell ref="D669:E669"/>
    <mergeCell ref="D670:E670"/>
    <mergeCell ref="D671:E671"/>
    <mergeCell ref="D672:E672"/>
    <mergeCell ref="D673:E673"/>
    <mergeCell ref="D704:E704"/>
    <mergeCell ref="D705:E705"/>
    <mergeCell ref="D706:E706"/>
    <mergeCell ref="D707:E707"/>
    <mergeCell ref="D708:E708"/>
    <mergeCell ref="D699:E699"/>
    <mergeCell ref="D700:E700"/>
    <mergeCell ref="D701:E701"/>
    <mergeCell ref="D702:E702"/>
    <mergeCell ref="D703:E703"/>
    <mergeCell ref="D694:E694"/>
    <mergeCell ref="D695:E695"/>
    <mergeCell ref="D696:E696"/>
    <mergeCell ref="D697:E697"/>
    <mergeCell ref="D698:E698"/>
    <mergeCell ref="D689:E689"/>
    <mergeCell ref="D690:E690"/>
    <mergeCell ref="D691:E691"/>
    <mergeCell ref="D692:E692"/>
    <mergeCell ref="D693:E693"/>
    <mergeCell ref="D724:E724"/>
    <mergeCell ref="E725:F725"/>
    <mergeCell ref="D726:E726"/>
    <mergeCell ref="D727:E727"/>
    <mergeCell ref="E728:F728"/>
    <mergeCell ref="D719:E719"/>
    <mergeCell ref="D720:E720"/>
    <mergeCell ref="E721:F721"/>
    <mergeCell ref="D722:E722"/>
    <mergeCell ref="E723:F723"/>
    <mergeCell ref="D714:E714"/>
    <mergeCell ref="D715:E715"/>
    <mergeCell ref="D716:E716"/>
    <mergeCell ref="D717:E717"/>
    <mergeCell ref="D718:E718"/>
    <mergeCell ref="D709:E709"/>
    <mergeCell ref="D710:E710"/>
    <mergeCell ref="D711:E711"/>
    <mergeCell ref="D712:E712"/>
    <mergeCell ref="D713:E713"/>
    <mergeCell ref="D744:E744"/>
    <mergeCell ref="E745:F745"/>
    <mergeCell ref="D746:E746"/>
    <mergeCell ref="E747:F747"/>
    <mergeCell ref="D748:E748"/>
    <mergeCell ref="E739:F739"/>
    <mergeCell ref="D740:E740"/>
    <mergeCell ref="E741:F741"/>
    <mergeCell ref="D742:E742"/>
    <mergeCell ref="E743:F743"/>
    <mergeCell ref="E734:F734"/>
    <mergeCell ref="D735:E735"/>
    <mergeCell ref="D736:E736"/>
    <mergeCell ref="E737:F737"/>
    <mergeCell ref="D738:E738"/>
    <mergeCell ref="D729:E729"/>
    <mergeCell ref="E730:F730"/>
    <mergeCell ref="D731:E731"/>
    <mergeCell ref="E732:F732"/>
    <mergeCell ref="D733:E733"/>
    <mergeCell ref="D764:E764"/>
    <mergeCell ref="E765:F765"/>
    <mergeCell ref="D766:E766"/>
    <mergeCell ref="E767:F767"/>
    <mergeCell ref="D768:E768"/>
    <mergeCell ref="E759:F759"/>
    <mergeCell ref="D760:E760"/>
    <mergeCell ref="E761:F761"/>
    <mergeCell ref="D762:E762"/>
    <mergeCell ref="E763:F763"/>
    <mergeCell ref="D754:E754"/>
    <mergeCell ref="E755:F755"/>
    <mergeCell ref="D756:E756"/>
    <mergeCell ref="E757:F757"/>
    <mergeCell ref="D758:E758"/>
    <mergeCell ref="E749:F749"/>
    <mergeCell ref="D750:E750"/>
    <mergeCell ref="E751:F751"/>
    <mergeCell ref="D752:E752"/>
    <mergeCell ref="E753:F753"/>
    <mergeCell ref="D784:E784"/>
    <mergeCell ref="E785:F785"/>
    <mergeCell ref="D786:E786"/>
    <mergeCell ref="E787:F787"/>
    <mergeCell ref="D788:E788"/>
    <mergeCell ref="E779:F779"/>
    <mergeCell ref="D780:E780"/>
    <mergeCell ref="E781:F781"/>
    <mergeCell ref="D782:E782"/>
    <mergeCell ref="E783:F783"/>
    <mergeCell ref="D774:E774"/>
    <mergeCell ref="E775:F775"/>
    <mergeCell ref="D776:E776"/>
    <mergeCell ref="E777:F777"/>
    <mergeCell ref="D778:E778"/>
    <mergeCell ref="E769:F769"/>
    <mergeCell ref="D770:E770"/>
    <mergeCell ref="E771:F771"/>
    <mergeCell ref="D772:E772"/>
    <mergeCell ref="E773:F773"/>
    <mergeCell ref="D804:E804"/>
    <mergeCell ref="E805:F805"/>
    <mergeCell ref="D806:E806"/>
    <mergeCell ref="E807:F807"/>
    <mergeCell ref="D808:E808"/>
    <mergeCell ref="D799:E799"/>
    <mergeCell ref="E800:F800"/>
    <mergeCell ref="E801:F801"/>
    <mergeCell ref="D802:E802"/>
    <mergeCell ref="E803:F803"/>
    <mergeCell ref="D794:E794"/>
    <mergeCell ref="E795:F795"/>
    <mergeCell ref="D796:E796"/>
    <mergeCell ref="D797:E797"/>
    <mergeCell ref="E798:F798"/>
    <mergeCell ref="E789:F789"/>
    <mergeCell ref="D790:E790"/>
    <mergeCell ref="E791:F791"/>
    <mergeCell ref="D792:E792"/>
    <mergeCell ref="E793:F793"/>
    <mergeCell ref="D824:E824"/>
    <mergeCell ref="E825:F825"/>
    <mergeCell ref="D826:E826"/>
    <mergeCell ref="E827:F827"/>
    <mergeCell ref="D828:E828"/>
    <mergeCell ref="E819:F819"/>
    <mergeCell ref="D820:E820"/>
    <mergeCell ref="E821:F821"/>
    <mergeCell ref="D822:E822"/>
    <mergeCell ref="E823:F823"/>
    <mergeCell ref="D814:E814"/>
    <mergeCell ref="E815:F815"/>
    <mergeCell ref="D816:E816"/>
    <mergeCell ref="E817:F817"/>
    <mergeCell ref="D818:E818"/>
    <mergeCell ref="E809:F809"/>
    <mergeCell ref="D810:E810"/>
    <mergeCell ref="E811:F811"/>
    <mergeCell ref="D812:E812"/>
    <mergeCell ref="E813:F813"/>
    <mergeCell ref="D844:E844"/>
    <mergeCell ref="E845:F845"/>
    <mergeCell ref="D846:E846"/>
    <mergeCell ref="E847:F847"/>
    <mergeCell ref="D848:E848"/>
    <mergeCell ref="E839:F839"/>
    <mergeCell ref="D840:E840"/>
    <mergeCell ref="E841:F841"/>
    <mergeCell ref="D842:E842"/>
    <mergeCell ref="E843:F843"/>
    <mergeCell ref="D834:E834"/>
    <mergeCell ref="E835:F835"/>
    <mergeCell ref="D836:E836"/>
    <mergeCell ref="E837:F837"/>
    <mergeCell ref="D838:E838"/>
    <mergeCell ref="E829:F829"/>
    <mergeCell ref="D830:E830"/>
    <mergeCell ref="E831:F831"/>
    <mergeCell ref="D832:E832"/>
    <mergeCell ref="E833:F833"/>
    <mergeCell ref="D864:E864"/>
    <mergeCell ref="E865:F865"/>
    <mergeCell ref="D866:E866"/>
    <mergeCell ref="D867:E867"/>
    <mergeCell ref="E868:F868"/>
    <mergeCell ref="E859:F859"/>
    <mergeCell ref="D860:E860"/>
    <mergeCell ref="E861:F861"/>
    <mergeCell ref="D862:E862"/>
    <mergeCell ref="E863:F863"/>
    <mergeCell ref="D854:E854"/>
    <mergeCell ref="E855:F855"/>
    <mergeCell ref="D856:E856"/>
    <mergeCell ref="E857:F857"/>
    <mergeCell ref="D858:E858"/>
    <mergeCell ref="E849:F849"/>
    <mergeCell ref="D850:E850"/>
    <mergeCell ref="E851:F851"/>
    <mergeCell ref="D852:E852"/>
    <mergeCell ref="E853:F853"/>
    <mergeCell ref="E884:F884"/>
    <mergeCell ref="D885:E885"/>
    <mergeCell ref="E886:F886"/>
    <mergeCell ref="D887:E887"/>
    <mergeCell ref="E888:F888"/>
    <mergeCell ref="D879:E879"/>
    <mergeCell ref="E880:F880"/>
    <mergeCell ref="E881:F881"/>
    <mergeCell ref="D882:E882"/>
    <mergeCell ref="E883:F883"/>
    <mergeCell ref="E874:F874"/>
    <mergeCell ref="E875:F875"/>
    <mergeCell ref="D876:E876"/>
    <mergeCell ref="E877:F877"/>
    <mergeCell ref="E878:F878"/>
    <mergeCell ref="E869:F869"/>
    <mergeCell ref="D870:E870"/>
    <mergeCell ref="E871:F871"/>
    <mergeCell ref="E872:F872"/>
    <mergeCell ref="D873:E873"/>
    <mergeCell ref="E904:F904"/>
    <mergeCell ref="D905:E905"/>
    <mergeCell ref="E906:F906"/>
    <mergeCell ref="E907:F907"/>
    <mergeCell ref="D908:E908"/>
    <mergeCell ref="E899:F899"/>
    <mergeCell ref="E900:F900"/>
    <mergeCell ref="D901:E901"/>
    <mergeCell ref="E902:F902"/>
    <mergeCell ref="E903:F903"/>
    <mergeCell ref="D894:E894"/>
    <mergeCell ref="D895:E895"/>
    <mergeCell ref="E896:F896"/>
    <mergeCell ref="E897:F897"/>
    <mergeCell ref="D898:E898"/>
    <mergeCell ref="D889:E889"/>
    <mergeCell ref="E890:F890"/>
    <mergeCell ref="E891:F891"/>
    <mergeCell ref="D892:E892"/>
    <mergeCell ref="E893:F893"/>
    <mergeCell ref="E924:F924"/>
    <mergeCell ref="E925:F925"/>
    <mergeCell ref="D926:E926"/>
    <mergeCell ref="E927:F927"/>
    <mergeCell ref="D928:E928"/>
    <mergeCell ref="E919:F919"/>
    <mergeCell ref="D920:E920"/>
    <mergeCell ref="E921:F921"/>
    <mergeCell ref="E922:F922"/>
    <mergeCell ref="D923:E923"/>
    <mergeCell ref="D914:E914"/>
    <mergeCell ref="E915:F915"/>
    <mergeCell ref="E916:F916"/>
    <mergeCell ref="D917:E917"/>
    <mergeCell ref="E918:F918"/>
    <mergeCell ref="E909:F909"/>
    <mergeCell ref="E910:F910"/>
    <mergeCell ref="D911:E911"/>
    <mergeCell ref="E912:F912"/>
    <mergeCell ref="E913:F913"/>
    <mergeCell ref="E944:F944"/>
    <mergeCell ref="D945:E945"/>
    <mergeCell ref="E946:F946"/>
    <mergeCell ref="E947:F947"/>
    <mergeCell ref="E948:F948"/>
    <mergeCell ref="D939:E939"/>
    <mergeCell ref="E940:F940"/>
    <mergeCell ref="E941:F941"/>
    <mergeCell ref="D942:E942"/>
    <mergeCell ref="E943:F943"/>
    <mergeCell ref="E934:F934"/>
    <mergeCell ref="D935:E935"/>
    <mergeCell ref="E936:F936"/>
    <mergeCell ref="E937:F937"/>
    <mergeCell ref="E938:F938"/>
    <mergeCell ref="D929:E929"/>
    <mergeCell ref="E930:F930"/>
    <mergeCell ref="E931:F931"/>
    <mergeCell ref="D932:E932"/>
    <mergeCell ref="E933:F933"/>
    <mergeCell ref="E964:F964"/>
    <mergeCell ref="E965:F965"/>
    <mergeCell ref="D966:E966"/>
    <mergeCell ref="E967:F967"/>
    <mergeCell ref="E968:F968"/>
    <mergeCell ref="D959:E959"/>
    <mergeCell ref="E960:F960"/>
    <mergeCell ref="D961:E961"/>
    <mergeCell ref="E962:F962"/>
    <mergeCell ref="E963:F963"/>
    <mergeCell ref="D954:E954"/>
    <mergeCell ref="E955:F955"/>
    <mergeCell ref="E956:F956"/>
    <mergeCell ref="E957:F957"/>
    <mergeCell ref="E958:F958"/>
    <mergeCell ref="D949:E949"/>
    <mergeCell ref="E950:F950"/>
    <mergeCell ref="D951:E951"/>
    <mergeCell ref="E952:F952"/>
    <mergeCell ref="D953:E953"/>
    <mergeCell ref="E984:F984"/>
    <mergeCell ref="D985:E985"/>
    <mergeCell ref="D986:E986"/>
    <mergeCell ref="E987:F987"/>
    <mergeCell ref="E988:F988"/>
    <mergeCell ref="D979:E979"/>
    <mergeCell ref="E980:F980"/>
    <mergeCell ref="D981:E981"/>
    <mergeCell ref="E982:F982"/>
    <mergeCell ref="D983:E983"/>
    <mergeCell ref="E974:F974"/>
    <mergeCell ref="E975:F975"/>
    <mergeCell ref="D976:E976"/>
    <mergeCell ref="E977:F977"/>
    <mergeCell ref="E978:F978"/>
    <mergeCell ref="E969:F969"/>
    <mergeCell ref="E970:F970"/>
    <mergeCell ref="D971:E971"/>
    <mergeCell ref="E972:F972"/>
    <mergeCell ref="D973:E973"/>
    <mergeCell ref="E1004:F1004"/>
    <mergeCell ref="D1005:E1005"/>
    <mergeCell ref="E1006:F1006"/>
    <mergeCell ref="E1007:F1007"/>
    <mergeCell ref="E1008:F1008"/>
    <mergeCell ref="D999:E999"/>
    <mergeCell ref="E1000:F1000"/>
    <mergeCell ref="E1001:F1001"/>
    <mergeCell ref="D1002:E1002"/>
    <mergeCell ref="E1003:F1003"/>
    <mergeCell ref="E994:F994"/>
    <mergeCell ref="E995:F995"/>
    <mergeCell ref="D996:E996"/>
    <mergeCell ref="E997:F997"/>
    <mergeCell ref="E998:F998"/>
    <mergeCell ref="E989:F989"/>
    <mergeCell ref="D990:E990"/>
    <mergeCell ref="E991:F991"/>
    <mergeCell ref="E992:F992"/>
    <mergeCell ref="D993:E993"/>
    <mergeCell ref="E1024:F1024"/>
    <mergeCell ref="D1025:E1025"/>
    <mergeCell ref="E1026:F1026"/>
    <mergeCell ref="E1027:F1027"/>
    <mergeCell ref="D1028:E1028"/>
    <mergeCell ref="D1019:E1019"/>
    <mergeCell ref="E1020:F1020"/>
    <mergeCell ref="E1021:F1021"/>
    <mergeCell ref="D1022:E1022"/>
    <mergeCell ref="D1023:E1023"/>
    <mergeCell ref="E1014:F1014"/>
    <mergeCell ref="D1015:E1015"/>
    <mergeCell ref="E1016:F1016"/>
    <mergeCell ref="E1017:F1017"/>
    <mergeCell ref="E1018:F1018"/>
    <mergeCell ref="E1009:F1009"/>
    <mergeCell ref="D1010:E1010"/>
    <mergeCell ref="E1011:F1011"/>
    <mergeCell ref="E1012:F1012"/>
    <mergeCell ref="D1013:E1013"/>
    <mergeCell ref="D1044:E1044"/>
    <mergeCell ref="D1045:E1045"/>
    <mergeCell ref="D1046:E1046"/>
    <mergeCell ref="D1047:E1047"/>
    <mergeCell ref="D1048:E1048"/>
    <mergeCell ref="D1039:E1039"/>
    <mergeCell ref="D1040:E1040"/>
    <mergeCell ref="D1041:E1041"/>
    <mergeCell ref="D1042:E1042"/>
    <mergeCell ref="D1043:E1043"/>
    <mergeCell ref="E1034:F1034"/>
    <mergeCell ref="D1035:E1035"/>
    <mergeCell ref="E1036:F1036"/>
    <mergeCell ref="D1037:E1037"/>
    <mergeCell ref="D1038:E1038"/>
    <mergeCell ref="E1029:F1029"/>
    <mergeCell ref="D1030:E1030"/>
    <mergeCell ref="E1031:F1031"/>
    <mergeCell ref="D1032:E1032"/>
    <mergeCell ref="E1033:F1033"/>
    <mergeCell ref="D1064:E1064"/>
    <mergeCell ref="D1065:E1065"/>
    <mergeCell ref="D1066:E1066"/>
    <mergeCell ref="D1067:E1067"/>
    <mergeCell ref="D1068:E1068"/>
    <mergeCell ref="D1059:E1059"/>
    <mergeCell ref="D1060:E1060"/>
    <mergeCell ref="D1061:E1061"/>
    <mergeCell ref="D1062:E1062"/>
    <mergeCell ref="D1063:E1063"/>
    <mergeCell ref="D1054:E1054"/>
    <mergeCell ref="D1055:E1055"/>
    <mergeCell ref="D1056:E1056"/>
    <mergeCell ref="D1057:E1057"/>
    <mergeCell ref="D1058:E1058"/>
    <mergeCell ref="D1049:E1049"/>
    <mergeCell ref="D1050:E1050"/>
    <mergeCell ref="D1051:E1051"/>
    <mergeCell ref="D1052:E1052"/>
    <mergeCell ref="D1053:E1053"/>
    <mergeCell ref="D1084:E1084"/>
    <mergeCell ref="D1085:E1085"/>
    <mergeCell ref="D1086:E1086"/>
    <mergeCell ref="D1087:E1087"/>
    <mergeCell ref="D1088:E1088"/>
    <mergeCell ref="D1079:E1079"/>
    <mergeCell ref="D1080:E1080"/>
    <mergeCell ref="D1081:E1081"/>
    <mergeCell ref="D1082:E1082"/>
    <mergeCell ref="D1083:E1083"/>
    <mergeCell ref="D1074:E1074"/>
    <mergeCell ref="D1075:E1075"/>
    <mergeCell ref="D1076:E1076"/>
    <mergeCell ref="D1077:E1077"/>
    <mergeCell ref="D1078:E1078"/>
    <mergeCell ref="D1069:E1069"/>
    <mergeCell ref="D1070:E1070"/>
    <mergeCell ref="D1071:E1071"/>
    <mergeCell ref="D1072:E1072"/>
    <mergeCell ref="D1073:E1073"/>
    <mergeCell ref="D1104:E1104"/>
    <mergeCell ref="D1105:E1105"/>
    <mergeCell ref="D1106:E1106"/>
    <mergeCell ref="D1107:E1107"/>
    <mergeCell ref="D1108:E1108"/>
    <mergeCell ref="D1099:E1099"/>
    <mergeCell ref="D1100:E1100"/>
    <mergeCell ref="D1101:E1101"/>
    <mergeCell ref="D1102:E1102"/>
    <mergeCell ref="D1103:E1103"/>
    <mergeCell ref="D1094:E1094"/>
    <mergeCell ref="D1095:E1095"/>
    <mergeCell ref="D1096:E1096"/>
    <mergeCell ref="D1097:E1097"/>
    <mergeCell ref="D1098:E1098"/>
    <mergeCell ref="D1089:E1089"/>
    <mergeCell ref="D1090:E1090"/>
    <mergeCell ref="D1091:E1091"/>
    <mergeCell ref="D1092:E1092"/>
    <mergeCell ref="D1093:E1093"/>
    <mergeCell ref="D1124:E1124"/>
    <mergeCell ref="D1125:E1125"/>
    <mergeCell ref="D1126:E1126"/>
    <mergeCell ref="D1127:E1127"/>
    <mergeCell ref="D1128:E1128"/>
    <mergeCell ref="D1119:E1119"/>
    <mergeCell ref="D1120:E1120"/>
    <mergeCell ref="D1121:E1121"/>
    <mergeCell ref="D1122:E1122"/>
    <mergeCell ref="D1123:E1123"/>
    <mergeCell ref="D1114:E1114"/>
    <mergeCell ref="D1115:E1115"/>
    <mergeCell ref="D1116:E1116"/>
    <mergeCell ref="D1117:E1117"/>
    <mergeCell ref="D1118:E1118"/>
    <mergeCell ref="D1109:E1109"/>
    <mergeCell ref="D1110:E1110"/>
    <mergeCell ref="D1111:E1111"/>
    <mergeCell ref="D1112:E1112"/>
    <mergeCell ref="D1113:E1113"/>
    <mergeCell ref="D1144:E1144"/>
    <mergeCell ref="D1145:E1145"/>
    <mergeCell ref="D1146:E1146"/>
    <mergeCell ref="D1147:E1147"/>
    <mergeCell ref="D1148:E1148"/>
    <mergeCell ref="D1139:E1139"/>
    <mergeCell ref="D1140:E1140"/>
    <mergeCell ref="D1141:E1141"/>
    <mergeCell ref="D1142:E1142"/>
    <mergeCell ref="D1143:E1143"/>
    <mergeCell ref="D1134:E1134"/>
    <mergeCell ref="D1135:E1135"/>
    <mergeCell ref="D1136:E1136"/>
    <mergeCell ref="D1137:E1137"/>
    <mergeCell ref="D1138:E1138"/>
    <mergeCell ref="D1129:E1129"/>
    <mergeCell ref="D1130:E1130"/>
    <mergeCell ref="D1131:E1131"/>
    <mergeCell ref="D1132:E1132"/>
    <mergeCell ref="D1133:E1133"/>
    <mergeCell ref="D1164:E1164"/>
    <mergeCell ref="D1165:E1165"/>
    <mergeCell ref="D1166:E1166"/>
    <mergeCell ref="D1167:E1167"/>
    <mergeCell ref="D1168:E1168"/>
    <mergeCell ref="D1159:E1159"/>
    <mergeCell ref="D1160:E1160"/>
    <mergeCell ref="D1161:E1161"/>
    <mergeCell ref="D1162:E1162"/>
    <mergeCell ref="D1163:E1163"/>
    <mergeCell ref="D1154:E1154"/>
    <mergeCell ref="D1155:E1155"/>
    <mergeCell ref="D1156:E1156"/>
    <mergeCell ref="D1157:E1157"/>
    <mergeCell ref="D1158:E1158"/>
    <mergeCell ref="D1149:E1149"/>
    <mergeCell ref="D1150:E1150"/>
    <mergeCell ref="D1151:E1151"/>
    <mergeCell ref="D1152:E1152"/>
    <mergeCell ref="D1153:E1153"/>
    <mergeCell ref="D1184:E1184"/>
    <mergeCell ref="D1185:E1185"/>
    <mergeCell ref="D1186:E1186"/>
    <mergeCell ref="D1187:E1187"/>
    <mergeCell ref="D1188:E1188"/>
    <mergeCell ref="D1179:E1179"/>
    <mergeCell ref="D1180:E1180"/>
    <mergeCell ref="D1181:E1181"/>
    <mergeCell ref="D1182:E1182"/>
    <mergeCell ref="D1183:E1183"/>
    <mergeCell ref="D1174:E1174"/>
    <mergeCell ref="D1175:E1175"/>
    <mergeCell ref="D1176:E1176"/>
    <mergeCell ref="D1177:E1177"/>
    <mergeCell ref="D1178:E1178"/>
    <mergeCell ref="D1169:E1169"/>
    <mergeCell ref="D1170:E1170"/>
    <mergeCell ref="D1171:E1171"/>
    <mergeCell ref="D1172:E1172"/>
    <mergeCell ref="D1173:E1173"/>
    <mergeCell ref="D1204:E1204"/>
    <mergeCell ref="D1205:E1205"/>
    <mergeCell ref="D1206:E1206"/>
    <mergeCell ref="D1207:E1207"/>
    <mergeCell ref="D1208:E1208"/>
    <mergeCell ref="D1199:E1199"/>
    <mergeCell ref="D1200:E1200"/>
    <mergeCell ref="D1201:E1201"/>
    <mergeCell ref="D1202:E1202"/>
    <mergeCell ref="D1203:E1203"/>
    <mergeCell ref="D1194:E1194"/>
    <mergeCell ref="D1195:E1195"/>
    <mergeCell ref="D1196:E1196"/>
    <mergeCell ref="D1197:E1197"/>
    <mergeCell ref="D1198:E1198"/>
    <mergeCell ref="D1189:E1189"/>
    <mergeCell ref="D1190:E1190"/>
    <mergeCell ref="D1191:E1191"/>
    <mergeCell ref="D1192:E1192"/>
    <mergeCell ref="D1193:E1193"/>
    <mergeCell ref="D1224:E1224"/>
    <mergeCell ref="D1225:E1225"/>
    <mergeCell ref="D1226:E1226"/>
    <mergeCell ref="D1227:E1227"/>
    <mergeCell ref="D1228:E1228"/>
    <mergeCell ref="D1219:E1219"/>
    <mergeCell ref="D1220:E1220"/>
    <mergeCell ref="D1221:E1221"/>
    <mergeCell ref="D1222:E1222"/>
    <mergeCell ref="D1223:E1223"/>
    <mergeCell ref="D1214:E1214"/>
    <mergeCell ref="D1215:E1215"/>
    <mergeCell ref="D1216:E1216"/>
    <mergeCell ref="D1217:E1217"/>
    <mergeCell ref="D1218:E1218"/>
    <mergeCell ref="D1209:E1209"/>
    <mergeCell ref="D1210:E1210"/>
    <mergeCell ref="D1211:E1211"/>
    <mergeCell ref="D1212:E1212"/>
    <mergeCell ref="D1213:E1213"/>
    <mergeCell ref="D1244:E1244"/>
    <mergeCell ref="D1245:E1245"/>
    <mergeCell ref="D1246:E1246"/>
    <mergeCell ref="D1247:E1247"/>
    <mergeCell ref="D1248:E1248"/>
    <mergeCell ref="D1239:E1239"/>
    <mergeCell ref="D1240:E1240"/>
    <mergeCell ref="D1241:E1241"/>
    <mergeCell ref="D1242:E1242"/>
    <mergeCell ref="D1243:E1243"/>
    <mergeCell ref="D1234:E1234"/>
    <mergeCell ref="D1235:E1235"/>
    <mergeCell ref="D1236:E1236"/>
    <mergeCell ref="D1237:E1237"/>
    <mergeCell ref="D1238:E1238"/>
    <mergeCell ref="D1229:E1229"/>
    <mergeCell ref="D1230:E1230"/>
    <mergeCell ref="D1231:E1231"/>
    <mergeCell ref="D1232:E1232"/>
    <mergeCell ref="D1233:E1233"/>
    <mergeCell ref="D1264:E1264"/>
    <mergeCell ref="D1265:E1265"/>
    <mergeCell ref="D1266:E1266"/>
    <mergeCell ref="D1267:E1267"/>
    <mergeCell ref="D1268:E1268"/>
    <mergeCell ref="D1259:E1259"/>
    <mergeCell ref="D1260:E1260"/>
    <mergeCell ref="D1261:E1261"/>
    <mergeCell ref="D1262:E1262"/>
    <mergeCell ref="D1263:E1263"/>
    <mergeCell ref="D1254:E1254"/>
    <mergeCell ref="D1255:E1255"/>
    <mergeCell ref="D1256:E1256"/>
    <mergeCell ref="D1257:E1257"/>
    <mergeCell ref="D1258:E1258"/>
    <mergeCell ref="D1249:E1249"/>
    <mergeCell ref="D1250:E1250"/>
    <mergeCell ref="D1251:E1251"/>
    <mergeCell ref="D1252:E1252"/>
    <mergeCell ref="D1253:E1253"/>
    <mergeCell ref="D1284:E1284"/>
    <mergeCell ref="D1285:E1285"/>
    <mergeCell ref="D1286:E1286"/>
    <mergeCell ref="D1287:E1287"/>
    <mergeCell ref="D1288:E1288"/>
    <mergeCell ref="D1279:E1279"/>
    <mergeCell ref="D1280:E1280"/>
    <mergeCell ref="D1281:E1281"/>
    <mergeCell ref="D1282:E1282"/>
    <mergeCell ref="D1283:E1283"/>
    <mergeCell ref="D1274:E1274"/>
    <mergeCell ref="D1275:E1275"/>
    <mergeCell ref="D1276:E1276"/>
    <mergeCell ref="D1277:E1277"/>
    <mergeCell ref="D1278:E1278"/>
    <mergeCell ref="D1269:E1269"/>
    <mergeCell ref="D1270:E1270"/>
    <mergeCell ref="D1271:E1271"/>
    <mergeCell ref="D1272:E1272"/>
    <mergeCell ref="D1273:E1273"/>
    <mergeCell ref="E1304:F1304"/>
    <mergeCell ref="D1305:E1305"/>
    <mergeCell ref="D1306:E1306"/>
    <mergeCell ref="E1307:F1307"/>
    <mergeCell ref="A1310:G1310"/>
    <mergeCell ref="E1299:F1299"/>
    <mergeCell ref="D1300:E1300"/>
    <mergeCell ref="E1301:F1301"/>
    <mergeCell ref="D1302:E1302"/>
    <mergeCell ref="D1303:E1303"/>
    <mergeCell ref="D1294:E1294"/>
    <mergeCell ref="D1295:E1295"/>
    <mergeCell ref="E1296:F1296"/>
    <mergeCell ref="D1297:E1297"/>
    <mergeCell ref="D1298:E1298"/>
    <mergeCell ref="D1289:E1289"/>
    <mergeCell ref="D1290:E1290"/>
    <mergeCell ref="E1291:F1291"/>
    <mergeCell ref="D1292:E1292"/>
    <mergeCell ref="E1293:F1293"/>
  </mergeCells>
  <pageMargins left="0.393999993801117" right="0.393999993801117" top="0.59100002050399802" bottom="0.59100002050399802" header="0" footer="0"/>
  <pageSetup fitToHeight="0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37" t="s">
        <v>2534</v>
      </c>
      <c r="B1" s="138"/>
      <c r="C1" s="138"/>
      <c r="D1" s="138"/>
      <c r="E1" s="138"/>
      <c r="F1" s="138"/>
      <c r="G1" s="138"/>
      <c r="H1" s="138"/>
      <c r="I1" s="138"/>
    </row>
    <row r="2" spans="1:9" x14ac:dyDescent="0.25">
      <c r="A2" s="139" t="s">
        <v>1</v>
      </c>
      <c r="B2" s="140"/>
      <c r="C2" s="134" t="str">
        <f>'Stavební rozpočet'!C2</f>
        <v>Modernizace 4.NP Hlavního pavilonu nemocnice Semily</v>
      </c>
      <c r="D2" s="135"/>
      <c r="E2" s="131" t="s">
        <v>5</v>
      </c>
      <c r="F2" s="131" t="str">
        <f>'Stavební rozpočet'!I2</f>
        <v> </v>
      </c>
      <c r="G2" s="140"/>
      <c r="H2" s="131" t="s">
        <v>2869</v>
      </c>
      <c r="I2" s="142" t="s">
        <v>46</v>
      </c>
    </row>
    <row r="3" spans="1:9" ht="15" customHeight="1" x14ac:dyDescent="0.25">
      <c r="A3" s="141"/>
      <c r="B3" s="94"/>
      <c r="C3" s="136"/>
      <c r="D3" s="136"/>
      <c r="E3" s="94"/>
      <c r="F3" s="94"/>
      <c r="G3" s="94"/>
      <c r="H3" s="94"/>
      <c r="I3" s="143"/>
    </row>
    <row r="4" spans="1:9" x14ac:dyDescent="0.25">
      <c r="A4" s="132" t="s">
        <v>7</v>
      </c>
      <c r="B4" s="94"/>
      <c r="C4" s="93" t="str">
        <f>'Stavební rozpočet'!C4</f>
        <v xml:space="preserve"> </v>
      </c>
      <c r="D4" s="94"/>
      <c r="E4" s="93" t="s">
        <v>9</v>
      </c>
      <c r="F4" s="93" t="str">
        <f>'Stavební rozpočet'!I4</f>
        <v> </v>
      </c>
      <c r="G4" s="94"/>
      <c r="H4" s="93" t="s">
        <v>2869</v>
      </c>
      <c r="I4" s="143" t="s">
        <v>46</v>
      </c>
    </row>
    <row r="5" spans="1:9" ht="15" customHeight="1" x14ac:dyDescent="0.25">
      <c r="A5" s="141"/>
      <c r="B5" s="94"/>
      <c r="C5" s="94"/>
      <c r="D5" s="94"/>
      <c r="E5" s="94"/>
      <c r="F5" s="94"/>
      <c r="G5" s="94"/>
      <c r="H5" s="94"/>
      <c r="I5" s="143"/>
    </row>
    <row r="6" spans="1:9" x14ac:dyDescent="0.25">
      <c r="A6" s="132" t="s">
        <v>10</v>
      </c>
      <c r="B6" s="94"/>
      <c r="C6" s="93" t="str">
        <f>'Stavební rozpočet'!C6</f>
        <v>p.p.č.519/1, k.ú.Semily (747246)  3.května č.p.421, 513 01 Semily, Česká republika</v>
      </c>
      <c r="D6" s="94"/>
      <c r="E6" s="93" t="s">
        <v>13</v>
      </c>
      <c r="F6" s="93" t="str">
        <f>'Stavební rozpočet'!I6</f>
        <v> </v>
      </c>
      <c r="G6" s="94"/>
      <c r="H6" s="93" t="s">
        <v>2869</v>
      </c>
      <c r="I6" s="143" t="s">
        <v>46</v>
      </c>
    </row>
    <row r="7" spans="1:9" ht="25.5" customHeight="1" x14ac:dyDescent="0.25">
      <c r="A7" s="141"/>
      <c r="B7" s="94"/>
      <c r="C7" s="94"/>
      <c r="D7" s="94"/>
      <c r="E7" s="94"/>
      <c r="F7" s="94"/>
      <c r="G7" s="94"/>
      <c r="H7" s="94"/>
      <c r="I7" s="143"/>
    </row>
    <row r="8" spans="1:9" x14ac:dyDescent="0.25">
      <c r="A8" s="132" t="s">
        <v>8</v>
      </c>
      <c r="B8" s="94"/>
      <c r="C8" s="93">
        <f>'Stavební rozpočet'!G4</f>
        <v>0</v>
      </c>
      <c r="D8" s="94"/>
      <c r="E8" s="93" t="s">
        <v>12</v>
      </c>
      <c r="F8" s="93" t="str">
        <f>'Stavební rozpočet'!G6</f>
        <v xml:space="preserve"> </v>
      </c>
      <c r="G8" s="94"/>
      <c r="H8" s="94" t="s">
        <v>2870</v>
      </c>
      <c r="I8" s="144">
        <v>819</v>
      </c>
    </row>
    <row r="9" spans="1:9" x14ac:dyDescent="0.25">
      <c r="A9" s="141"/>
      <c r="B9" s="94"/>
      <c r="C9" s="94"/>
      <c r="D9" s="94"/>
      <c r="E9" s="94"/>
      <c r="F9" s="94"/>
      <c r="G9" s="94"/>
      <c r="H9" s="94"/>
      <c r="I9" s="143"/>
    </row>
    <row r="10" spans="1:9" x14ac:dyDescent="0.25">
      <c r="A10" s="132" t="s">
        <v>14</v>
      </c>
      <c r="B10" s="94"/>
      <c r="C10" s="93" t="str">
        <f>'Stavební rozpočet'!C8</f>
        <v xml:space="preserve"> </v>
      </c>
      <c r="D10" s="94"/>
      <c r="E10" s="93" t="s">
        <v>16</v>
      </c>
      <c r="F10" s="93" t="str">
        <f>'Stavební rozpočet'!I8</f>
        <v> </v>
      </c>
      <c r="G10" s="94"/>
      <c r="H10" s="94" t="s">
        <v>2871</v>
      </c>
      <c r="I10" s="125">
        <f>'Stavební rozpočet'!G8</f>
        <v>0</v>
      </c>
    </row>
    <row r="11" spans="1:9" x14ac:dyDescent="0.25">
      <c r="A11" s="133"/>
      <c r="B11" s="130"/>
      <c r="C11" s="130"/>
      <c r="D11" s="130"/>
      <c r="E11" s="130"/>
      <c r="F11" s="130"/>
      <c r="G11" s="130"/>
      <c r="H11" s="130"/>
      <c r="I11" s="126"/>
    </row>
    <row r="13" spans="1:9" ht="15.75" x14ac:dyDescent="0.25">
      <c r="A13" s="188" t="s">
        <v>2902</v>
      </c>
      <c r="B13" s="188"/>
      <c r="C13" s="188"/>
      <c r="D13" s="188"/>
      <c r="E13" s="188"/>
    </row>
    <row r="14" spans="1:9" x14ac:dyDescent="0.25">
      <c r="A14" s="189" t="s">
        <v>2903</v>
      </c>
      <c r="B14" s="190"/>
      <c r="C14" s="190"/>
      <c r="D14" s="190"/>
      <c r="E14" s="191"/>
      <c r="F14" s="78" t="s">
        <v>2904</v>
      </c>
      <c r="G14" s="78" t="s">
        <v>2905</v>
      </c>
      <c r="H14" s="78" t="s">
        <v>2906</v>
      </c>
      <c r="I14" s="78" t="s">
        <v>2904</v>
      </c>
    </row>
    <row r="15" spans="1:9" x14ac:dyDescent="0.25">
      <c r="A15" s="175" t="s">
        <v>2878</v>
      </c>
      <c r="B15" s="176"/>
      <c r="C15" s="176"/>
      <c r="D15" s="176"/>
      <c r="E15" s="177"/>
      <c r="F15" s="79">
        <v>0</v>
      </c>
      <c r="G15" s="80" t="s">
        <v>46</v>
      </c>
      <c r="H15" s="80" t="s">
        <v>46</v>
      </c>
      <c r="I15" s="79">
        <f>F15</f>
        <v>0</v>
      </c>
    </row>
    <row r="16" spans="1:9" x14ac:dyDescent="0.25">
      <c r="A16" s="175" t="s">
        <v>2879</v>
      </c>
      <c r="B16" s="176"/>
      <c r="C16" s="176"/>
      <c r="D16" s="176"/>
      <c r="E16" s="177"/>
      <c r="F16" s="79">
        <v>0</v>
      </c>
      <c r="G16" s="80" t="s">
        <v>46</v>
      </c>
      <c r="H16" s="80" t="s">
        <v>46</v>
      </c>
      <c r="I16" s="79">
        <f>F16</f>
        <v>0</v>
      </c>
    </row>
    <row r="17" spans="1:9" x14ac:dyDescent="0.25">
      <c r="A17" s="148" t="s">
        <v>2882</v>
      </c>
      <c r="B17" s="147"/>
      <c r="C17" s="147"/>
      <c r="D17" s="147"/>
      <c r="E17" s="178"/>
      <c r="F17" s="81">
        <v>0</v>
      </c>
      <c r="G17" s="82" t="s">
        <v>46</v>
      </c>
      <c r="H17" s="82" t="s">
        <v>46</v>
      </c>
      <c r="I17" s="81">
        <f>F17</f>
        <v>0</v>
      </c>
    </row>
    <row r="18" spans="1:9" x14ac:dyDescent="0.25">
      <c r="A18" s="179" t="s">
        <v>2907</v>
      </c>
      <c r="B18" s="180"/>
      <c r="C18" s="180"/>
      <c r="D18" s="180"/>
      <c r="E18" s="181"/>
      <c r="F18" s="83" t="s">
        <v>46</v>
      </c>
      <c r="G18" s="84" t="s">
        <v>46</v>
      </c>
      <c r="H18" s="84" t="s">
        <v>46</v>
      </c>
      <c r="I18" s="85">
        <f>SUM(I15:I17)</f>
        <v>0</v>
      </c>
    </row>
    <row r="20" spans="1:9" x14ac:dyDescent="0.25">
      <c r="A20" s="189" t="s">
        <v>2875</v>
      </c>
      <c r="B20" s="190"/>
      <c r="C20" s="190"/>
      <c r="D20" s="190"/>
      <c r="E20" s="191"/>
      <c r="F20" s="78" t="s">
        <v>2904</v>
      </c>
      <c r="G20" s="78" t="s">
        <v>2905</v>
      </c>
      <c r="H20" s="78" t="s">
        <v>2906</v>
      </c>
      <c r="I20" s="78" t="s">
        <v>2904</v>
      </c>
    </row>
    <row r="21" spans="1:9" x14ac:dyDescent="0.25">
      <c r="A21" s="175" t="s">
        <v>2546</v>
      </c>
      <c r="B21" s="176"/>
      <c r="C21" s="176"/>
      <c r="D21" s="176"/>
      <c r="E21" s="177"/>
      <c r="F21" s="79">
        <v>0</v>
      </c>
      <c r="G21" s="80" t="s">
        <v>46</v>
      </c>
      <c r="H21" s="80" t="s">
        <v>46</v>
      </c>
      <c r="I21" s="79">
        <f t="shared" ref="I21:I26" si="0">F21</f>
        <v>0</v>
      </c>
    </row>
    <row r="22" spans="1:9" x14ac:dyDescent="0.25">
      <c r="A22" s="175" t="s">
        <v>2880</v>
      </c>
      <c r="B22" s="176"/>
      <c r="C22" s="176"/>
      <c r="D22" s="176"/>
      <c r="E22" s="177"/>
      <c r="F22" s="79">
        <v>0</v>
      </c>
      <c r="G22" s="80" t="s">
        <v>46</v>
      </c>
      <c r="H22" s="80" t="s">
        <v>46</v>
      </c>
      <c r="I22" s="79">
        <f t="shared" si="0"/>
        <v>0</v>
      </c>
    </row>
    <row r="23" spans="1:9" x14ac:dyDescent="0.25">
      <c r="A23" s="175" t="s">
        <v>2560</v>
      </c>
      <c r="B23" s="176"/>
      <c r="C23" s="176"/>
      <c r="D23" s="176"/>
      <c r="E23" s="177"/>
      <c r="F23" s="79">
        <v>0</v>
      </c>
      <c r="G23" s="80" t="s">
        <v>46</v>
      </c>
      <c r="H23" s="80" t="s">
        <v>46</v>
      </c>
      <c r="I23" s="79">
        <f t="shared" si="0"/>
        <v>0</v>
      </c>
    </row>
    <row r="24" spans="1:9" x14ac:dyDescent="0.25">
      <c r="A24" s="175" t="s">
        <v>2565</v>
      </c>
      <c r="B24" s="176"/>
      <c r="C24" s="176"/>
      <c r="D24" s="176"/>
      <c r="E24" s="177"/>
      <c r="F24" s="79">
        <v>0</v>
      </c>
      <c r="G24" s="80" t="s">
        <v>46</v>
      </c>
      <c r="H24" s="80" t="s">
        <v>46</v>
      </c>
      <c r="I24" s="79">
        <f t="shared" si="0"/>
        <v>0</v>
      </c>
    </row>
    <row r="25" spans="1:9" x14ac:dyDescent="0.25">
      <c r="A25" s="175" t="s">
        <v>2884</v>
      </c>
      <c r="B25" s="176"/>
      <c r="C25" s="176"/>
      <c r="D25" s="176"/>
      <c r="E25" s="177"/>
      <c r="F25" s="79">
        <v>0</v>
      </c>
      <c r="G25" s="80" t="s">
        <v>46</v>
      </c>
      <c r="H25" s="80" t="s">
        <v>46</v>
      </c>
      <c r="I25" s="79">
        <f t="shared" si="0"/>
        <v>0</v>
      </c>
    </row>
    <row r="26" spans="1:9" x14ac:dyDescent="0.25">
      <c r="A26" s="148" t="s">
        <v>2885</v>
      </c>
      <c r="B26" s="147"/>
      <c r="C26" s="147"/>
      <c r="D26" s="147"/>
      <c r="E26" s="178"/>
      <c r="F26" s="81">
        <v>0</v>
      </c>
      <c r="G26" s="82" t="s">
        <v>46</v>
      </c>
      <c r="H26" s="82" t="s">
        <v>46</v>
      </c>
      <c r="I26" s="81">
        <f t="shared" si="0"/>
        <v>0</v>
      </c>
    </row>
    <row r="27" spans="1:9" x14ac:dyDescent="0.25">
      <c r="A27" s="179" t="s">
        <v>2908</v>
      </c>
      <c r="B27" s="180"/>
      <c r="C27" s="180"/>
      <c r="D27" s="180"/>
      <c r="E27" s="181"/>
      <c r="F27" s="83" t="s">
        <v>46</v>
      </c>
      <c r="G27" s="84" t="s">
        <v>46</v>
      </c>
      <c r="H27" s="84" t="s">
        <v>46</v>
      </c>
      <c r="I27" s="85">
        <f>SUM(I21:I26)</f>
        <v>0</v>
      </c>
    </row>
    <row r="29" spans="1:9" ht="15.75" x14ac:dyDescent="0.25">
      <c r="A29" s="182" t="s">
        <v>2909</v>
      </c>
      <c r="B29" s="183"/>
      <c r="C29" s="183"/>
      <c r="D29" s="183"/>
      <c r="E29" s="184"/>
      <c r="F29" s="185">
        <f>I18+I27</f>
        <v>0</v>
      </c>
      <c r="G29" s="186"/>
      <c r="H29" s="186"/>
      <c r="I29" s="187"/>
    </row>
    <row r="33" spans="1:9" ht="15.75" x14ac:dyDescent="0.25">
      <c r="A33" s="188" t="s">
        <v>2910</v>
      </c>
      <c r="B33" s="188"/>
      <c r="C33" s="188"/>
      <c r="D33" s="188"/>
      <c r="E33" s="188"/>
    </row>
    <row r="34" spans="1:9" x14ac:dyDescent="0.25">
      <c r="A34" s="189" t="s">
        <v>2911</v>
      </c>
      <c r="B34" s="190"/>
      <c r="C34" s="190"/>
      <c r="D34" s="190"/>
      <c r="E34" s="191"/>
      <c r="F34" s="78" t="s">
        <v>2904</v>
      </c>
      <c r="G34" s="78" t="s">
        <v>2905</v>
      </c>
      <c r="H34" s="78" t="s">
        <v>2906</v>
      </c>
      <c r="I34" s="78" t="s">
        <v>2904</v>
      </c>
    </row>
    <row r="35" spans="1:9" x14ac:dyDescent="0.25">
      <c r="A35" s="175" t="s">
        <v>2536</v>
      </c>
      <c r="B35" s="176"/>
      <c r="C35" s="176"/>
      <c r="D35" s="176"/>
      <c r="E35" s="177"/>
      <c r="F35" s="79">
        <f>SUM('Stavební rozpočet'!BM12:BM1748)</f>
        <v>0</v>
      </c>
      <c r="G35" s="80" t="s">
        <v>46</v>
      </c>
      <c r="H35" s="80" t="s">
        <v>46</v>
      </c>
      <c r="I35" s="79">
        <f t="shared" ref="I35:I44" si="1">F35</f>
        <v>0</v>
      </c>
    </row>
    <row r="36" spans="1:9" x14ac:dyDescent="0.25">
      <c r="A36" s="175" t="s">
        <v>2912</v>
      </c>
      <c r="B36" s="176"/>
      <c r="C36" s="176"/>
      <c r="D36" s="176"/>
      <c r="E36" s="177"/>
      <c r="F36" s="79">
        <f>SUM('Stavební rozpočet'!BN12:BN1748)</f>
        <v>0</v>
      </c>
      <c r="G36" s="80" t="s">
        <v>46</v>
      </c>
      <c r="H36" s="80" t="s">
        <v>46</v>
      </c>
      <c r="I36" s="79">
        <f t="shared" si="1"/>
        <v>0</v>
      </c>
    </row>
    <row r="37" spans="1:9" x14ac:dyDescent="0.25">
      <c r="A37" s="175" t="s">
        <v>2546</v>
      </c>
      <c r="B37" s="176"/>
      <c r="C37" s="176"/>
      <c r="D37" s="176"/>
      <c r="E37" s="177"/>
      <c r="F37" s="79">
        <f>SUM('Stavební rozpočet'!BO12:BO1748)</f>
        <v>0</v>
      </c>
      <c r="G37" s="80" t="s">
        <v>46</v>
      </c>
      <c r="H37" s="80" t="s">
        <v>46</v>
      </c>
      <c r="I37" s="79">
        <f t="shared" si="1"/>
        <v>0</v>
      </c>
    </row>
    <row r="38" spans="1:9" x14ac:dyDescent="0.25">
      <c r="A38" s="175" t="s">
        <v>2551</v>
      </c>
      <c r="B38" s="176"/>
      <c r="C38" s="176"/>
      <c r="D38" s="176"/>
      <c r="E38" s="177"/>
      <c r="F38" s="79">
        <f>SUM('Stavební rozpočet'!BP12:BP1748)</f>
        <v>0</v>
      </c>
      <c r="G38" s="80" t="s">
        <v>46</v>
      </c>
      <c r="H38" s="80" t="s">
        <v>46</v>
      </c>
      <c r="I38" s="79">
        <f t="shared" si="1"/>
        <v>0</v>
      </c>
    </row>
    <row r="39" spans="1:9" x14ac:dyDescent="0.25">
      <c r="A39" s="175" t="s">
        <v>2913</v>
      </c>
      <c r="B39" s="176"/>
      <c r="C39" s="176"/>
      <c r="D39" s="176"/>
      <c r="E39" s="177"/>
      <c r="F39" s="79">
        <f>SUM('Stavební rozpočet'!BQ12:BQ1748)</f>
        <v>0</v>
      </c>
      <c r="G39" s="80" t="s">
        <v>46</v>
      </c>
      <c r="H39" s="80" t="s">
        <v>46</v>
      </c>
      <c r="I39" s="79">
        <f t="shared" si="1"/>
        <v>0</v>
      </c>
    </row>
    <row r="40" spans="1:9" x14ac:dyDescent="0.25">
      <c r="A40" s="175" t="s">
        <v>2560</v>
      </c>
      <c r="B40" s="176"/>
      <c r="C40" s="176"/>
      <c r="D40" s="176"/>
      <c r="E40" s="177"/>
      <c r="F40" s="79">
        <f>SUM('Stavební rozpočet'!BR12:BR1748)</f>
        <v>0</v>
      </c>
      <c r="G40" s="80" t="s">
        <v>46</v>
      </c>
      <c r="H40" s="80" t="s">
        <v>46</v>
      </c>
      <c r="I40" s="79">
        <f t="shared" si="1"/>
        <v>0</v>
      </c>
    </row>
    <row r="41" spans="1:9" x14ac:dyDescent="0.25">
      <c r="A41" s="175" t="s">
        <v>2565</v>
      </c>
      <c r="B41" s="176"/>
      <c r="C41" s="176"/>
      <c r="D41" s="176"/>
      <c r="E41" s="177"/>
      <c r="F41" s="79">
        <f>SUM('Stavební rozpočet'!BS12:BS1748)</f>
        <v>0</v>
      </c>
      <c r="G41" s="80" t="s">
        <v>46</v>
      </c>
      <c r="H41" s="80" t="s">
        <v>46</v>
      </c>
      <c r="I41" s="79">
        <f t="shared" si="1"/>
        <v>0</v>
      </c>
    </row>
    <row r="42" spans="1:9" x14ac:dyDescent="0.25">
      <c r="A42" s="175" t="s">
        <v>2914</v>
      </c>
      <c r="B42" s="176"/>
      <c r="C42" s="176"/>
      <c r="D42" s="176"/>
      <c r="E42" s="177"/>
      <c r="F42" s="79">
        <f>SUM('Stavební rozpočet'!BT12:BT1748)</f>
        <v>0</v>
      </c>
      <c r="G42" s="80" t="s">
        <v>46</v>
      </c>
      <c r="H42" s="80" t="s">
        <v>46</v>
      </c>
      <c r="I42" s="79">
        <f t="shared" si="1"/>
        <v>0</v>
      </c>
    </row>
    <row r="43" spans="1:9" x14ac:dyDescent="0.25">
      <c r="A43" s="175" t="s">
        <v>2915</v>
      </c>
      <c r="B43" s="176"/>
      <c r="C43" s="176"/>
      <c r="D43" s="176"/>
      <c r="E43" s="177"/>
      <c r="F43" s="79">
        <f>SUM('Stavební rozpočet'!BU12:BU1748)</f>
        <v>0</v>
      </c>
      <c r="G43" s="80" t="s">
        <v>46</v>
      </c>
      <c r="H43" s="80" t="s">
        <v>46</v>
      </c>
      <c r="I43" s="79">
        <f t="shared" si="1"/>
        <v>0</v>
      </c>
    </row>
    <row r="44" spans="1:9" x14ac:dyDescent="0.25">
      <c r="A44" s="148" t="s">
        <v>2916</v>
      </c>
      <c r="B44" s="147"/>
      <c r="C44" s="147"/>
      <c r="D44" s="147"/>
      <c r="E44" s="178"/>
      <c r="F44" s="81">
        <f>SUM('Stavební rozpočet'!BV12:BV1748)</f>
        <v>0</v>
      </c>
      <c r="G44" s="82" t="s">
        <v>46</v>
      </c>
      <c r="H44" s="82" t="s">
        <v>46</v>
      </c>
      <c r="I44" s="81">
        <f t="shared" si="1"/>
        <v>0</v>
      </c>
    </row>
    <row r="45" spans="1:9" x14ac:dyDescent="0.25">
      <c r="A45" s="179" t="s">
        <v>2917</v>
      </c>
      <c r="B45" s="180"/>
      <c r="C45" s="180"/>
      <c r="D45" s="180"/>
      <c r="E45" s="181"/>
      <c r="F45" s="83" t="s">
        <v>46</v>
      </c>
      <c r="G45" s="84" t="s">
        <v>46</v>
      </c>
      <c r="H45" s="84" t="s">
        <v>46</v>
      </c>
      <c r="I45" s="85">
        <f>SUM(I35:I44)</f>
        <v>0</v>
      </c>
    </row>
  </sheetData>
  <mergeCells count="60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right="0.393999993801117" top="0.59100002050399802" bottom="0.59100002050399802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Krycí list rozpočtu</vt:lpstr>
      <vt:lpstr>Stavební rozpočet - součet</vt:lpstr>
      <vt:lpstr>Stavební rozpočet</vt:lpstr>
      <vt:lpstr>Rozpočet - Jen skupiny</vt:lpstr>
      <vt:lpstr>Rozpočet - Jen podskupiny</vt:lpstr>
      <vt:lpstr>Výkaz výměr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Slabý Marek</cp:lastModifiedBy>
  <dcterms:created xsi:type="dcterms:W3CDTF">2021-06-10T20:06:38Z</dcterms:created>
  <dcterms:modified xsi:type="dcterms:W3CDTF">2026-03-17T09:18:13Z</dcterms:modified>
</cp:coreProperties>
</file>